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<sst xmlns="http://schemas.openxmlformats.org/spreadsheetml/2006/main" count="398" uniqueCount="343">
  <si>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</si>
  <si>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</si>
  <si>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</si>
  <si>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</si>
  <si>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</si>
  <si>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</si>
  <si>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</si>
  <si>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</si>
  <si>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</si>
  <si>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</si>
  <si>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</si>
  <si>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</si>
  <si>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</si>
  <si>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</si>
  <si>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</si>
  <si>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</si>
  <si>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</si>
  <si>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</si>
  <si>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</si>
  <si>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</si>
  <si>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</si>
  <si>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</si>
  <si>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</si>
  <si>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</si>
  <si>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</si>
  <si>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</si>
  <si>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</si>
  <si>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</si>
  <si>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</si>
  <si>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</si>
  <si>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</si>
  <si>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</si>
  <si>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</si>
  <si>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</si>
  <si>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</si>
  <si>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</si>
  <si>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</si>
  <si>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</si>
  <si>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</si>
  <si>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</si>
  <si>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</si>
  <si>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</si>
  <si>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</si>
  <si>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</si>
  <si>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</si>
  <si>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</si>
  <si>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</si>
  <si>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</si>
  <si>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</si>
  <si>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</si>
  <si>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</si>
  <si>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</si>
  <si>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</si>
  <si>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</si>
  <si>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</si>
  <si>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</si>
  <si>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</si>
  <si>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</si>
  <si>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</si>
  <si>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</si>
  <si>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</si>
  <si>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</si>
  <si>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</si>
  <si>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</si>
  <si>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</si>
  <si>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</si>
  <si>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</si>
  <si>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</si>
  <si>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</si>
  <si>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</si>
  <si>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</si>
  <si>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</si>
  <si>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</si>
  <si>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</si>
  <si>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</si>
  <si>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</si>
  <si>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</si>
  <si>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</si>
  <si>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</si>
  <si>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</si>
  <si>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</si>
  <si>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</si>
  <si>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</si>
  <si>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</si>
  <si>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</si>
  <si>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</si>
  <si>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</si>
  <si>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</si>
  <si>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</si>
  <si>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</si>
  <si>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</si>
  <si>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</si>
  <si>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</si>
  <si>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</si>
  <si>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</si>
  <si>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</si>
  <si>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</si>
  <si>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</si>
  <si>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</si>
  <si>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</si>
  <si>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</si>
  <si>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</si>
  <si>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</si>
  <si>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</si>
  <si>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</si>
  <si>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</si>
  <si>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</si>
  <si>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</si>
  <si>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</si>
  <si>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</si>
  <si>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</si>
  <si>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</si>
  <si>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</si>
  <si>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</si>
  <si>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</si>
  <si>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</si>
  <si>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</si>
  <si>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</si>
  <si>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</si>
  <si>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</si>
  <si>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</si>
  <si>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</si>
  <si>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</si>
  <si>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</si>
  <si>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</si>
  <si>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</si>
  <si>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</si>
  <si>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</si>
  <si>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</si>
  <si>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</si>
  <si>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</si>
  <si>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</si>
  <si>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</si>
  <si>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</si>
  <si>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</si>
  <si>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</si>
  <si>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</si>
  <si>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</si>
  <si>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</si>
  <si>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</si>
  <si>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</si>
  <si>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</si>
  <si>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</si>
  <si>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</si>
  <si>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</si>
  <si>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</si>
  <si>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</si>
  <si>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</si>
  <si>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</si>
  <si>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</si>
  <si>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</si>
  <si>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</si>
  <si>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</si>
  <si>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</si>
  <si>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</si>
  <si>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</si>
  <si>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</si>
  <si>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</si>
  <si>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</si>
  <si>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</si>
  <si>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</si>
  <si>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</si>
  <si>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</si>
  <si>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</si>
  <si>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</si>
  <si>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</si>
  <si>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</si>
  <si>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</si>
  <si>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</si>
  <si>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</si>
  <si>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</si>
  <si>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</si>
  <si>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</si>
  <si>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</si>
  <si>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</si>
  <si>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</si>
  <si>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</si>
  <si>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</si>
  <si>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</si>
  <si>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</si>
  <si>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</si>
  <si>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</si>
  <si>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</si>
  <si>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</si>
  <si>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</si>
  <si>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</si>
  <si>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</si>
  <si>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</si>
  <si>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</si>
  <si>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</si>
  <si>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</si>
  <si>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</si>
  <si>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</si>
  <si>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</si>
  <si>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</si>
  <si>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</si>
  <si>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</si>
  <si>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</si>
  <si>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</si>
  <si>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</si>
  <si>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</si>
  <si>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</si>
  <si>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</si>
  <si>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</si>
  <si>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</si>
  <si>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</si>
  <si>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</si>
  <si>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</si>
  <si>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</si>
  <si>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</si>
  <si>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</si>
  <si>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</si>
  <si>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</si>
  <si>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</si>
  <si>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</si>
  <si>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</si>
  <si>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</si>
  <si>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</si>
  <si>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</si>
  <si>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</si>
  <si>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</si>
  <si>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</si>
  <si>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</si>
  <si>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</si>
  <si>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</si>
  <si>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</si>
  <si>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</si>
  <si>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</si>
  <si>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</si>
  <si>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</si>
  <si>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</si>
  <si>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</si>
  <si>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</si>
  <si>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</si>
  <si>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</si>
  <si>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</si>
  <si>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</si>
  <si>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</si>
  <si>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</si>
  <si>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</si>
  <si>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</si>
  <si>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</si>
  <si>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</si>
  <si>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</si>
  <si>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</si>
  <si>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</si>
  <si>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</si>
  <si>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</si>
  <si>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</si>
  <si>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</si>
  <si>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</si>
  <si>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</si>
  <si>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</si>
  <si>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</si>
  <si>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</si>
  <si>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</si>
  <si>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</si>
  <si>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</si>
  <si>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</si>
  <si>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</si>
  <si>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</si>
  <si>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</si>
  <si>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</si>
  <si>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</si>
  <si>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</si>
  <si>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</si>
  <si>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</si>
  <si>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</si>
  <si>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</si>
  <si>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</si>
  <si>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</si>
  <si>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</si>
  <si>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</si>
  <si>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</si>
  <si>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</si>
  <si>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</si>
  <si>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</si>
  <si>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</si>
  <si>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</si>
  <si>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</si>
  <si>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</si>
  <si>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</si>
  <si>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</si>
  <si>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</si>
  <si>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</si>
  <si>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</si>
  <si>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</si>
  <si>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</si>
  <si>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</si>
  <si>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</si>
  <si>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</si>
  <si>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</si>
  <si>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</si>
  <si>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</si>
  <si>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</si>
  <si>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</si>
  <si>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</si>
  <si>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</si>
  <si>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</si>
  <si>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</si>
  <si>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</si>
  <si>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</si>
  <si>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</si>
  <si>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</si>
  <si>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</si>
  <si>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</si>
  <si>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</si>
  <si>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</si>
  <si>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</si>
  <si>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</si>
  <si>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</si>
  <si>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</si>
  <si>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</si>
  <si>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</si>
  <si>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</si>
  <si>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</si>
  <si>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</si>
  <si>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</si>
  <si>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</si>
  <si>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</si>
  <si>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</si>
  <si>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</si>
  <si>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</si>
  <si>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</si>
  <si>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</si>
  <si>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</si>
  <si>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</si>
  <si>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</si>
  <si>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</si>
  <si>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</si>
  <si>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</si>
  <si>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</si>
  <si>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</si>
  <si>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</si>
  <si>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</si>
  <si>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</si>
  <si>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</si>
  <si>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</si>
  <si>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</si>
  <si>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1.1.2017.</t>
  </si>
  <si>
    <t>30.06.2017.</t>
  </si>
  <si>
    <t>stanje na dan 30.06.2017.</t>
  </si>
  <si>
    <t>u razdoblju 1.1.2017. do 30.06.2017.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</si>
</sst>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40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3" t="s">
        <v>234</v>
      </c>
      <c r="B1" s="184"/>
      <c r="C1" s="18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0" t="s">
        <v>235</v>
      </c>
      <c r="B2" s="141"/>
      <c r="C2" s="141"/>
      <c r="D2" s="142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3" t="s">
        <v>302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6" t="s">
        <v>237</v>
      </c>
      <c r="B6" s="147"/>
      <c r="C6" s="138" t="s">
        <v>309</v>
      </c>
      <c r="D6" s="13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8" t="s">
        <v>238</v>
      </c>
      <c r="B8" s="149"/>
      <c r="C8" s="138" t="s">
        <v>310</v>
      </c>
      <c r="D8" s="13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5" t="s">
        <v>239</v>
      </c>
      <c r="B10" s="136"/>
      <c r="C10" s="138" t="s">
        <v>311</v>
      </c>
      <c r="D10" s="13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6" t="s">
        <v>240</v>
      </c>
      <c r="B12" s="147"/>
      <c r="C12" s="150" t="s">
        <v>322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6" t="s">
        <v>241</v>
      </c>
      <c r="B14" s="147"/>
      <c r="C14" s="153">
        <v>52440</v>
      </c>
      <c r="D14" s="154"/>
      <c r="E14" s="16"/>
      <c r="F14" s="150" t="s">
        <v>312</v>
      </c>
      <c r="G14" s="151"/>
      <c r="H14" s="151"/>
      <c r="I14" s="152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6" t="s">
        <v>242</v>
      </c>
      <c r="B16" s="147"/>
      <c r="C16" s="150" t="s">
        <v>313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6" t="s">
        <v>243</v>
      </c>
      <c r="B18" s="147"/>
      <c r="C18" s="155" t="s">
        <v>314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6" t="s">
        <v>244</v>
      </c>
      <c r="B20" s="147"/>
      <c r="C20" s="155" t="s">
        <v>325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6" t="s">
        <v>245</v>
      </c>
      <c r="B22" s="147"/>
      <c r="C22" s="120">
        <v>348</v>
      </c>
      <c r="D22" s="150" t="s">
        <v>312</v>
      </c>
      <c r="E22" s="158"/>
      <c r="F22" s="159"/>
      <c r="G22" s="146"/>
      <c r="H22" s="16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6" t="s">
        <v>246</v>
      </c>
      <c r="B24" s="147"/>
      <c r="C24" s="120">
        <v>18</v>
      </c>
      <c r="D24" s="150" t="s">
        <v>315</v>
      </c>
      <c r="E24" s="158"/>
      <c r="F24" s="158"/>
      <c r="G24" s="159"/>
      <c r="H24" s="51" t="s">
        <v>247</v>
      </c>
      <c r="I24" s="134">
        <v>4532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6" t="s">
        <v>248</v>
      </c>
      <c r="B26" s="147"/>
      <c r="C26" s="121" t="s">
        <v>316</v>
      </c>
      <c r="D26" s="25"/>
      <c r="E26" s="33"/>
      <c r="F26" s="24"/>
      <c r="G26" s="161" t="s">
        <v>249</v>
      </c>
      <c r="H26" s="147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2" t="s">
        <v>250</v>
      </c>
      <c r="B28" s="163"/>
      <c r="C28" s="164"/>
      <c r="D28" s="164"/>
      <c r="E28" s="165" t="s">
        <v>251</v>
      </c>
      <c r="F28" s="166"/>
      <c r="G28" s="166"/>
      <c r="H28" s="167" t="s">
        <v>252</v>
      </c>
      <c r="I28" s="16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3"/>
      <c r="B31" s="22"/>
      <c r="C31" s="21"/>
      <c r="D31" s="172"/>
      <c r="E31" s="172"/>
      <c r="F31" s="172"/>
      <c r="G31" s="173"/>
      <c r="H31" s="16"/>
      <c r="I31" s="100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102"/>
      <c r="B37" s="30"/>
      <c r="C37" s="174"/>
      <c r="D37" s="175"/>
      <c r="E37" s="16"/>
      <c r="F37" s="174"/>
      <c r="G37" s="175"/>
      <c r="H37" s="16"/>
      <c r="I37" s="94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253</v>
      </c>
      <c r="B44" s="179"/>
      <c r="C44" s="138"/>
      <c r="D44" s="139"/>
      <c r="E44" s="26"/>
      <c r="F44" s="150"/>
      <c r="G44" s="170"/>
      <c r="H44" s="170"/>
      <c r="I44" s="171"/>
      <c r="J44" s="10"/>
      <c r="K44" s="10"/>
      <c r="L44" s="10"/>
    </row>
    <row r="45" spans="1:12" ht="12.75">
      <c r="A45" s="102"/>
      <c r="B45" s="30"/>
      <c r="C45" s="174"/>
      <c r="D45" s="175"/>
      <c r="E45" s="16"/>
      <c r="F45" s="174"/>
      <c r="G45" s="176"/>
      <c r="H45" s="35"/>
      <c r="I45" s="106"/>
      <c r="J45" s="10"/>
      <c r="K45" s="10"/>
      <c r="L45" s="10"/>
    </row>
    <row r="46" spans="1:12" ht="12.75">
      <c r="A46" s="135" t="s">
        <v>254</v>
      </c>
      <c r="B46" s="179"/>
      <c r="C46" s="150" t="s">
        <v>318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5" t="s">
        <v>256</v>
      </c>
      <c r="B48" s="179"/>
      <c r="C48" s="180" t="s">
        <v>319</v>
      </c>
      <c r="D48" s="181"/>
      <c r="E48" s="182"/>
      <c r="F48" s="16"/>
      <c r="G48" s="51" t="s">
        <v>257</v>
      </c>
      <c r="H48" s="180" t="s">
        <v>320</v>
      </c>
      <c r="I48" s="18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5" t="s">
        <v>243</v>
      </c>
      <c r="B50" s="179"/>
      <c r="C50" s="191" t="s">
        <v>321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6" t="s">
        <v>258</v>
      </c>
      <c r="B52" s="147"/>
      <c r="C52" s="180" t="s">
        <v>338</v>
      </c>
      <c r="D52" s="181"/>
      <c r="E52" s="181"/>
      <c r="F52" s="181"/>
      <c r="G52" s="181"/>
      <c r="H52" s="181"/>
      <c r="I52" s="152"/>
      <c r="J52" s="10"/>
      <c r="K52" s="10"/>
      <c r="L52" s="10"/>
    </row>
    <row r="53" spans="1:12" ht="12.75">
      <c r="A53" s="107"/>
      <c r="B53" s="20"/>
      <c r="C53" s="185" t="s">
        <v>259</v>
      </c>
      <c r="D53" s="185"/>
      <c r="E53" s="185"/>
      <c r="F53" s="185"/>
      <c r="G53" s="185"/>
      <c r="H53" s="18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3.5">
      <c r="A55" s="107"/>
      <c r="B55" s="192" t="s">
        <v>260</v>
      </c>
      <c r="C55" s="193"/>
      <c r="D55" s="193"/>
      <c r="E55" s="193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4" t="s">
        <v>328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7"/>
      <c r="B57" s="194" t="s">
        <v>292</v>
      </c>
      <c r="C57" s="195"/>
      <c r="D57" s="195"/>
      <c r="E57" s="195"/>
      <c r="F57" s="195"/>
      <c r="G57" s="195"/>
      <c r="H57" s="195"/>
      <c r="I57" s="109"/>
      <c r="J57" s="10"/>
      <c r="K57" s="10"/>
      <c r="L57" s="10"/>
    </row>
    <row r="58" spans="1:12" ht="12.75">
      <c r="A58" s="107"/>
      <c r="B58" s="194" t="s">
        <v>293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7"/>
      <c r="B59" s="194" t="s">
        <v>294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86" t="s">
        <v>263</v>
      </c>
      <c r="H62" s="187"/>
      <c r="I62" s="18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9"/>
      <c r="H63" s="19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1">
      <selection activeCell="L69" sqref="L69:L8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34" t="s">
        <v>144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3.5">
      <c r="A3" s="236" t="s">
        <v>323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1.75">
      <c r="A4" s="239" t="s">
        <v>50</v>
      </c>
      <c r="B4" s="240"/>
      <c r="C4" s="240"/>
      <c r="D4" s="240"/>
      <c r="E4" s="240"/>
      <c r="F4" s="240"/>
      <c r="G4" s="240"/>
      <c r="H4" s="241"/>
      <c r="I4" s="58" t="s">
        <v>264</v>
      </c>
      <c r="J4" s="59" t="s">
        <v>304</v>
      </c>
      <c r="K4" s="60" t="s">
        <v>305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7">
        <v>2</v>
      </c>
      <c r="J5" s="56">
        <v>3</v>
      </c>
      <c r="K5" s="56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51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11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3806830512</v>
      </c>
      <c r="K8" s="53">
        <f>K9+K16+K26+K35+K39</f>
        <v>4191335979</v>
      </c>
    </row>
    <row r="9" spans="1:11" ht="12.75">
      <c r="A9" s="210" t="s">
        <v>193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J10+J11+J12+J13+J14+J15</f>
        <v>17342793</v>
      </c>
      <c r="K9" s="53">
        <f>K10+K11+K12+K13+K14+K15</f>
        <v>24589026</v>
      </c>
    </row>
    <row r="10" spans="1:11" ht="12.75">
      <c r="A10" s="210" t="s">
        <v>103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12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17068321</v>
      </c>
      <c r="K11" s="7">
        <v>15305831</v>
      </c>
    </row>
    <row r="12" spans="1:11" ht="12.75">
      <c r="A12" s="210" t="s">
        <v>104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>
        <v>6567609</v>
      </c>
    </row>
    <row r="13" spans="1:11" ht="12.75">
      <c r="A13" s="210" t="s">
        <v>196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197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274472</v>
      </c>
      <c r="K14" s="7">
        <v>2715586</v>
      </c>
    </row>
    <row r="15" spans="1:11" ht="12.75">
      <c r="A15" s="210" t="s">
        <v>198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194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J17+J18+J19+J20+J21+J22+J23+J24+J25</f>
        <v>2906793288</v>
      </c>
      <c r="K16" s="53">
        <f>K17+K18+K19+K20+K21+K22+K23+K24+K25</f>
        <v>3322238456</v>
      </c>
    </row>
    <row r="17" spans="1:11" ht="12.75">
      <c r="A17" s="210" t="s">
        <v>199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595574908</v>
      </c>
      <c r="K17" s="7">
        <v>612901944</v>
      </c>
    </row>
    <row r="18" spans="1:11" ht="12.75">
      <c r="A18" s="210" t="s">
        <v>233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1805980339</v>
      </c>
      <c r="K18" s="7">
        <v>1727738496</v>
      </c>
    </row>
    <row r="19" spans="1:11" ht="12.75">
      <c r="A19" s="210" t="s">
        <v>200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207011662</v>
      </c>
      <c r="K19" s="7">
        <v>206672671</v>
      </c>
    </row>
    <row r="20" spans="1:11" ht="12.75">
      <c r="A20" s="210" t="s">
        <v>23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62668696</v>
      </c>
      <c r="K20" s="7">
        <v>67459996</v>
      </c>
    </row>
    <row r="21" spans="1:11" ht="12.75">
      <c r="A21" s="210" t="s">
        <v>24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63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29697670</v>
      </c>
      <c r="K22" s="7">
        <v>22520994</v>
      </c>
    </row>
    <row r="23" spans="1:11" ht="12.75">
      <c r="A23" s="210" t="s">
        <v>64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167870168</v>
      </c>
      <c r="K23" s="7">
        <v>649322466</v>
      </c>
    </row>
    <row r="24" spans="1:11" ht="12.75">
      <c r="A24" s="210" t="s">
        <v>65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27121603</v>
      </c>
      <c r="K24" s="7">
        <v>25118363</v>
      </c>
    </row>
    <row r="25" spans="1:11" ht="12.75">
      <c r="A25" s="210" t="s">
        <v>66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10868242</v>
      </c>
      <c r="K25" s="7">
        <v>10503526</v>
      </c>
    </row>
    <row r="26" spans="1:11" ht="12.75">
      <c r="A26" s="210" t="s">
        <v>179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J27+J28+J29+J30+J31+J32+J33+J34</f>
        <v>675525760</v>
      </c>
      <c r="K26" s="53">
        <f>K27+K28+K29+K30+K31+K32+K33+K34</f>
        <v>637236019</v>
      </c>
    </row>
    <row r="27" spans="1:11" ht="12.75">
      <c r="A27" s="210" t="s">
        <v>67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670319700</v>
      </c>
      <c r="K27" s="7">
        <v>633665200</v>
      </c>
    </row>
    <row r="28" spans="1:11" ht="12.75">
      <c r="A28" s="210" t="s">
        <v>68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69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140000</v>
      </c>
      <c r="K29" s="7">
        <v>140000</v>
      </c>
    </row>
    <row r="30" spans="1:11" ht="12.75">
      <c r="A30" s="210" t="s">
        <v>74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75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4766325</v>
      </c>
      <c r="K31" s="7">
        <v>3184880</v>
      </c>
    </row>
    <row r="32" spans="1:11" ht="12.75">
      <c r="A32" s="210" t="s">
        <v>76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299735</v>
      </c>
      <c r="K32" s="7">
        <v>245939</v>
      </c>
    </row>
    <row r="33" spans="1:11" ht="12.75">
      <c r="A33" s="210" t="s">
        <v>70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308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173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J36+J37+J38</f>
        <v>113553484</v>
      </c>
      <c r="K35" s="53">
        <f>K36+K37+K38</f>
        <v>113529089</v>
      </c>
    </row>
    <row r="36" spans="1:11" ht="12.75">
      <c r="A36" s="210" t="s">
        <v>71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113247689</v>
      </c>
      <c r="K36" s="7">
        <v>113247689</v>
      </c>
    </row>
    <row r="37" spans="1:11" ht="12.75">
      <c r="A37" s="210" t="s">
        <v>72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229222</v>
      </c>
      <c r="K37" s="7">
        <v>205401</v>
      </c>
    </row>
    <row r="38" spans="1:11" ht="12.75">
      <c r="A38" s="210" t="s">
        <v>73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76573</v>
      </c>
      <c r="K38" s="7">
        <v>75999</v>
      </c>
    </row>
    <row r="39" spans="1:12" ht="12.75">
      <c r="A39" s="210" t="s">
        <v>174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93615187</v>
      </c>
      <c r="K39" s="7">
        <v>93743389</v>
      </c>
      <c r="L39" s="127"/>
    </row>
    <row r="40" spans="1:11" ht="12.75">
      <c r="A40" s="213" t="s">
        <v>226</v>
      </c>
      <c r="B40" s="214"/>
      <c r="C40" s="214"/>
      <c r="D40" s="214"/>
      <c r="E40" s="214"/>
      <c r="F40" s="214"/>
      <c r="G40" s="214"/>
      <c r="H40" s="215"/>
      <c r="I40" s="1">
        <v>34</v>
      </c>
      <c r="J40" s="53">
        <f>J41+J49+J56+J64</f>
        <v>319356014</v>
      </c>
      <c r="K40" s="53">
        <f>K41+K49+K56+K64</f>
        <v>223423436</v>
      </c>
    </row>
    <row r="41" spans="1:11" ht="12.75">
      <c r="A41" s="210" t="s">
        <v>91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J42+J43+J44+J45+J46+J47+J48</f>
        <v>18253553</v>
      </c>
      <c r="K41" s="53">
        <f>K42+K43+K44+K45+K46+K47+K48</f>
        <v>19809163</v>
      </c>
    </row>
    <row r="42" spans="1:11" ht="12.75">
      <c r="A42" s="210" t="s">
        <v>108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18026040</v>
      </c>
      <c r="K42" s="7">
        <v>19654514</v>
      </c>
    </row>
    <row r="43" spans="1:11" ht="12.75">
      <c r="A43" s="210" t="s">
        <v>109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77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78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227513</v>
      </c>
      <c r="K45" s="7">
        <v>154649</v>
      </c>
    </row>
    <row r="46" spans="1:11" ht="12.75">
      <c r="A46" s="210" t="s">
        <v>79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80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81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92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J50+J51+J52+J53+J54+J55</f>
        <v>62728000</v>
      </c>
      <c r="K49" s="53">
        <f>K50+K51+K52+K53+K54+K55</f>
        <v>100184370</v>
      </c>
    </row>
    <row r="50" spans="1:11" ht="12.75">
      <c r="A50" s="210" t="s">
        <v>188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25253754</v>
      </c>
      <c r="K50" s="7">
        <v>15807892</v>
      </c>
    </row>
    <row r="51" spans="1:11" ht="12.75">
      <c r="A51" s="210" t="s">
        <v>189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16702108</v>
      </c>
      <c r="K51" s="7">
        <v>68758116</v>
      </c>
    </row>
    <row r="52" spans="1:11" ht="12.75">
      <c r="A52" s="210" t="s">
        <v>190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191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649460</v>
      </c>
      <c r="K53" s="7">
        <v>6071376</v>
      </c>
    </row>
    <row r="54" spans="1:11" ht="12.75">
      <c r="A54" s="210" t="s">
        <v>8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18294802</v>
      </c>
      <c r="K54" s="7">
        <v>77409</v>
      </c>
    </row>
    <row r="55" spans="1:11" ht="12.75">
      <c r="A55" s="210" t="s">
        <v>9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1827876</v>
      </c>
      <c r="K55" s="7">
        <v>9469577</v>
      </c>
    </row>
    <row r="56" spans="1:11" ht="12.75">
      <c r="A56" s="210" t="s">
        <v>93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J57+J58+J59+J60+J61+J62+J63</f>
        <v>726764</v>
      </c>
      <c r="K56" s="53">
        <f>K57+K58+K59+K60+K61+K62+K63</f>
        <v>5465245</v>
      </c>
    </row>
    <row r="57" spans="1:11" ht="12.75">
      <c r="A57" s="210" t="s">
        <v>67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68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23800</v>
      </c>
      <c r="K58" s="7">
        <v>25800</v>
      </c>
    </row>
    <row r="59" spans="1:11" ht="12.75">
      <c r="A59" s="210" t="s">
        <v>228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74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75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76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702964</v>
      </c>
      <c r="K62" s="7">
        <v>702795</v>
      </c>
    </row>
    <row r="63" spans="1:11" ht="12.75">
      <c r="A63" s="210" t="s">
        <v>37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>
        <v>4736650</v>
      </c>
    </row>
    <row r="64" spans="1:11" ht="12.75">
      <c r="A64" s="210" t="s">
        <v>195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237647697</v>
      </c>
      <c r="K64" s="7">
        <v>97964658</v>
      </c>
    </row>
    <row r="65" spans="1:11" ht="12.75">
      <c r="A65" s="213" t="s">
        <v>47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21820614</v>
      </c>
      <c r="K65" s="7">
        <v>103746416</v>
      </c>
    </row>
    <row r="66" spans="1:11" ht="12.75">
      <c r="A66" s="213" t="s">
        <v>227</v>
      </c>
      <c r="B66" s="214"/>
      <c r="C66" s="214"/>
      <c r="D66" s="214"/>
      <c r="E66" s="214"/>
      <c r="F66" s="214"/>
      <c r="G66" s="214"/>
      <c r="H66" s="215"/>
      <c r="I66" s="1">
        <v>60</v>
      </c>
      <c r="J66" s="53">
        <f>J8+J40+J65</f>
        <v>4148007140</v>
      </c>
      <c r="K66" s="53">
        <f>K8+K40+K65</f>
        <v>4518505831</v>
      </c>
    </row>
    <row r="67" spans="1:11" ht="12.75">
      <c r="A67" s="225" t="s">
        <v>82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54631638</v>
      </c>
      <c r="K67" s="8">
        <v>54583654</v>
      </c>
    </row>
    <row r="68" spans="1:11" ht="12.75">
      <c r="A68" s="202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2" ht="12.75">
      <c r="A69" s="206" t="s">
        <v>180</v>
      </c>
      <c r="B69" s="207"/>
      <c r="C69" s="207"/>
      <c r="D69" s="207"/>
      <c r="E69" s="207"/>
      <c r="F69" s="207"/>
      <c r="G69" s="207"/>
      <c r="H69" s="224"/>
      <c r="I69" s="3">
        <v>62</v>
      </c>
      <c r="J69" s="54">
        <f>J70+J71+J72+J78+J79+J82+J85</f>
        <v>2324082480</v>
      </c>
      <c r="K69" s="54">
        <f>K70+K71+K72+K78+K79+K82+K85</f>
        <v>2176979905</v>
      </c>
      <c r="L69" s="127"/>
    </row>
    <row r="70" spans="1:11" ht="12.75">
      <c r="A70" s="210" t="s">
        <v>132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1672021210</v>
      </c>
      <c r="K70" s="7">
        <v>1672021210</v>
      </c>
    </row>
    <row r="71" spans="1:12" ht="12.75">
      <c r="A71" s="210" t="s">
        <v>133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2204690</v>
      </c>
      <c r="K71" s="7">
        <v>3602906</v>
      </c>
      <c r="L71" s="127"/>
    </row>
    <row r="72" spans="1:12" ht="12.75">
      <c r="A72" s="210" t="s">
        <v>134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+J73+J74-J75+J76+J77</f>
        <v>84401862</v>
      </c>
      <c r="K72" s="53">
        <f>+K73+K74-K75+K76+K77</f>
        <v>102055847</v>
      </c>
      <c r="L72" s="127"/>
    </row>
    <row r="73" spans="1:12" ht="12.75">
      <c r="A73" s="210" t="s">
        <v>135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67198750</v>
      </c>
      <c r="K73" s="7">
        <v>83601061</v>
      </c>
      <c r="L73" s="127"/>
    </row>
    <row r="74" spans="1:11" ht="12.75">
      <c r="A74" s="210" t="s">
        <v>136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44815284</v>
      </c>
      <c r="K74" s="7">
        <v>44815284</v>
      </c>
    </row>
    <row r="75" spans="1:12" ht="12.75">
      <c r="A75" s="210" t="s">
        <v>124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37141295</v>
      </c>
      <c r="K75" s="7">
        <v>35889621</v>
      </c>
      <c r="L75" s="127"/>
    </row>
    <row r="76" spans="1:11" ht="12.75">
      <c r="A76" s="210" t="s">
        <v>125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2" ht="12.75">
      <c r="A77" s="210" t="s">
        <v>126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9529123</v>
      </c>
      <c r="K77" s="7">
        <v>9529123</v>
      </c>
      <c r="L77" s="127"/>
    </row>
    <row r="78" spans="1:12" ht="12.75">
      <c r="A78" s="210" t="s">
        <v>127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273313</v>
      </c>
      <c r="K78" s="7">
        <v>285337</v>
      </c>
      <c r="L78" s="127"/>
    </row>
    <row r="79" spans="1:11" ht="12.75">
      <c r="A79" s="210" t="s">
        <v>224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+J80-J81</f>
        <v>228523684</v>
      </c>
      <c r="K79" s="53">
        <f>+K80-K81</f>
        <v>439340145</v>
      </c>
    </row>
    <row r="80" spans="1:12" ht="12.75">
      <c r="A80" s="221" t="s">
        <v>159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228523684</v>
      </c>
      <c r="K80" s="7">
        <f>449426901-10086756</f>
        <v>439340145</v>
      </c>
      <c r="L80" s="127"/>
    </row>
    <row r="81" spans="1:12" ht="12.75">
      <c r="A81" s="221" t="s">
        <v>160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133"/>
      <c r="L81" s="127"/>
    </row>
    <row r="82" spans="1:11" ht="12.75">
      <c r="A82" s="210" t="s">
        <v>225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+J83-J84</f>
        <v>336657721</v>
      </c>
      <c r="K82" s="53">
        <f>+K83-K84</f>
        <v>-40325540</v>
      </c>
    </row>
    <row r="83" spans="1:11" ht="12.75">
      <c r="A83" s="221" t="s">
        <v>161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336657721</v>
      </c>
      <c r="K83" s="7"/>
    </row>
    <row r="84" spans="1:11" ht="12.75">
      <c r="A84" s="221" t="s">
        <v>162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40325540</v>
      </c>
    </row>
    <row r="85" spans="1:11" ht="12.75">
      <c r="A85" s="210" t="s">
        <v>163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15</v>
      </c>
      <c r="B86" s="214"/>
      <c r="C86" s="214"/>
      <c r="D86" s="214"/>
      <c r="E86" s="214"/>
      <c r="F86" s="214"/>
      <c r="G86" s="214"/>
      <c r="H86" s="215"/>
      <c r="I86" s="1">
        <v>79</v>
      </c>
      <c r="J86" s="53">
        <f>SUM(J87:J89)</f>
        <v>26578807</v>
      </c>
      <c r="K86" s="53">
        <f>SUM(K87:K89)</f>
        <v>26501490</v>
      </c>
    </row>
    <row r="87" spans="1:11" ht="12.75">
      <c r="A87" s="210" t="s">
        <v>120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121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2" ht="12.75">
      <c r="A89" s="210" t="s">
        <v>122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26578807</v>
      </c>
      <c r="K89" s="7">
        <v>26501490</v>
      </c>
      <c r="L89" s="127"/>
    </row>
    <row r="90" spans="1:11" ht="12.75">
      <c r="A90" s="213" t="s">
        <v>16</v>
      </c>
      <c r="B90" s="214"/>
      <c r="C90" s="214"/>
      <c r="D90" s="214"/>
      <c r="E90" s="214"/>
      <c r="F90" s="214"/>
      <c r="G90" s="214"/>
      <c r="H90" s="215"/>
      <c r="I90" s="1">
        <v>83</v>
      </c>
      <c r="J90" s="53">
        <f>J91+J92+J93+J94+J95+J96+J97+J98+J99</f>
        <v>1351548203</v>
      </c>
      <c r="K90" s="53">
        <f>K91+K92+K93+K94+K95+K96+K97+K98+K99</f>
        <v>1681574589</v>
      </c>
    </row>
    <row r="91" spans="1:11" ht="12.75">
      <c r="A91" s="210" t="s">
        <v>123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229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1332585946</v>
      </c>
      <c r="K93" s="7">
        <v>1663097003</v>
      </c>
    </row>
    <row r="94" spans="1:11" ht="12.75">
      <c r="A94" s="210" t="s">
        <v>230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231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232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85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83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2044339</v>
      </c>
      <c r="K98" s="7">
        <v>1556662</v>
      </c>
    </row>
    <row r="99" spans="1:11" ht="12.75">
      <c r="A99" s="210" t="s">
        <v>84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16917918</v>
      </c>
      <c r="K99" s="7">
        <v>16920924</v>
      </c>
    </row>
    <row r="100" spans="1:11" ht="12.75">
      <c r="A100" s="213" t="s">
        <v>17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3">
        <f>J101+J102+J103+J104+J105+J106+J107+J108+J109+J110+J111+J112</f>
        <v>361331313</v>
      </c>
      <c r="K100" s="53">
        <f>K101+K102+K103+K104+K105+K106+K107+K108+K109+K110+K111+K112</f>
        <v>547432154</v>
      </c>
    </row>
    <row r="101" spans="1:11" ht="12.75">
      <c r="A101" s="210" t="s">
        <v>123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195394</v>
      </c>
      <c r="K101" s="7">
        <v>832369</v>
      </c>
    </row>
    <row r="102" spans="1:11" ht="12.75">
      <c r="A102" s="210" t="s">
        <v>229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159263170</v>
      </c>
      <c r="K103" s="7">
        <v>109674216</v>
      </c>
    </row>
    <row r="104" spans="1:11" ht="12.75">
      <c r="A104" s="210" t="s">
        <v>230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22878112</v>
      </c>
      <c r="K104" s="7">
        <v>238061385</v>
      </c>
    </row>
    <row r="105" spans="1:11" ht="12.75">
      <c r="A105" s="210" t="s">
        <v>231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150726630</v>
      </c>
      <c r="K105" s="7">
        <v>120754119</v>
      </c>
    </row>
    <row r="106" spans="1:11" ht="12.75">
      <c r="A106" s="210" t="s">
        <v>232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85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86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18821064</v>
      </c>
      <c r="K108" s="7">
        <v>34646365</v>
      </c>
    </row>
    <row r="109" spans="1:11" ht="12.75">
      <c r="A109" s="210" t="s">
        <v>87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7640156</v>
      </c>
      <c r="K109" s="7">
        <v>39192014</v>
      </c>
    </row>
    <row r="110" spans="1:11" ht="12.75">
      <c r="A110" s="210" t="s">
        <v>90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59985</v>
      </c>
      <c r="K110" s="7">
        <v>72403</v>
      </c>
    </row>
    <row r="111" spans="1:11" ht="12.75">
      <c r="A111" s="210" t="s">
        <v>88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89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1746802</v>
      </c>
      <c r="K112" s="7">
        <v>4199283</v>
      </c>
    </row>
    <row r="113" spans="1:12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f>111045144-26578807</f>
        <v>84466337</v>
      </c>
      <c r="K113" s="7">
        <f>112519183-26501490</f>
        <v>86017693</v>
      </c>
      <c r="L113" s="127"/>
    </row>
    <row r="114" spans="1:11" ht="12.75">
      <c r="A114" s="213" t="s">
        <v>21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3">
        <f>J69+J86+J90+J100+J113</f>
        <v>4148007140</v>
      </c>
      <c r="K114" s="53">
        <f>K69+K86+K90+K100+K113</f>
        <v>4518505831</v>
      </c>
    </row>
    <row r="115" spans="1:11" ht="12.75">
      <c r="A115" s="199" t="s">
        <v>48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54631638</v>
      </c>
      <c r="K115" s="8">
        <v>54583654.23</v>
      </c>
    </row>
    <row r="116" spans="1:11" ht="12.75">
      <c r="A116" s="202" t="s">
        <v>295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175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6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7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296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  <row r="126" spans="10:11" ht="12.75">
      <c r="J126" s="128">
        <f>+J114-J66</f>
        <v>0</v>
      </c>
      <c r="K126" s="128">
        <f>+K114-K66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90 J1:J9 J16 J26 J35 J40:J41 J49 J56 J66 J68:J69 J72 J79 J82 J116:J65536 J100 J114 J86:K86 L1:IV65536 K87:K65536 K1:K69 K71:K85"/>
    <dataValidation type="whole" operator="greaterThanOrEqual" allowBlank="1" showInputMessage="1" showErrorMessage="1" errorTitle="Pogrešan unos" error="Mogu se unijeti samo cjelobrojne pozitivne vrijednosti." sqref="J101:J113 J10:J15 J17:J25 J27:J34 J36:J39 J42:J48 J50:J55 J57:J65 J67 J70:K70 J73:J77 J80:J81 J87:J89 J91:J99 J83:J84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O1" sqref="O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34" t="s">
        <v>145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2" t="s">
        <v>342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62" t="s">
        <v>323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2.5">
      <c r="A4" s="263" t="s">
        <v>50</v>
      </c>
      <c r="B4" s="263"/>
      <c r="C4" s="263"/>
      <c r="D4" s="263"/>
      <c r="E4" s="263"/>
      <c r="F4" s="263"/>
      <c r="G4" s="263"/>
      <c r="H4" s="263"/>
      <c r="I4" s="58" t="s">
        <v>265</v>
      </c>
      <c r="J4" s="264" t="s">
        <v>304</v>
      </c>
      <c r="K4" s="264"/>
      <c r="L4" s="264" t="s">
        <v>305</v>
      </c>
      <c r="M4" s="264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22</v>
      </c>
      <c r="B7" s="207"/>
      <c r="C7" s="207"/>
      <c r="D7" s="207"/>
      <c r="E7" s="207"/>
      <c r="F7" s="207"/>
      <c r="G7" s="207"/>
      <c r="H7" s="224"/>
      <c r="I7" s="3">
        <v>111</v>
      </c>
      <c r="J7" s="54">
        <f>SUM(J8:J9)</f>
        <v>428954339</v>
      </c>
      <c r="K7" s="54">
        <f>SUM(K8:K9)</f>
        <v>378538652</v>
      </c>
      <c r="L7" s="54">
        <f>SUM(L8:L9)</f>
        <v>491231504</v>
      </c>
      <c r="M7" s="54">
        <f>SUM(M8:M9)</f>
        <v>460309911</v>
      </c>
    </row>
    <row r="8" spans="1:13" ht="12.75">
      <c r="A8" s="213" t="s">
        <v>143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416545792</v>
      </c>
      <c r="K8" s="7">
        <v>370422878</v>
      </c>
      <c r="L8" s="7">
        <v>482380408</v>
      </c>
      <c r="M8" s="7">
        <f>+L8-26400910</f>
        <v>455979498</v>
      </c>
    </row>
    <row r="9" spans="1:13" ht="12.75">
      <c r="A9" s="213" t="s">
        <v>94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12408547</v>
      </c>
      <c r="K9" s="7">
        <v>8115774</v>
      </c>
      <c r="L9" s="7">
        <f>1716240+7134856</f>
        <v>8851096</v>
      </c>
      <c r="M9" s="7">
        <f>+L9-4520683</f>
        <v>4330413</v>
      </c>
    </row>
    <row r="10" spans="1:13" ht="12.75">
      <c r="A10" s="213" t="s">
        <v>10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3">
        <f>J11+J12+J16+J20+J21+J22+J25+J26</f>
        <v>470716677</v>
      </c>
      <c r="K10" s="53">
        <f>K11+K12+K16+K20+K21+K22+K25+K26</f>
        <v>314766159</v>
      </c>
      <c r="L10" s="53">
        <f>L11+L12+L16+L20+L21+L22+L25+L26</f>
        <v>553208576</v>
      </c>
      <c r="M10" s="53">
        <f>+L10-183741794</f>
        <v>369466782</v>
      </c>
    </row>
    <row r="11" spans="1:13" ht="12.75">
      <c r="A11" s="213" t="s">
        <v>95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18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3">
        <f>SUM(J13:J15)</f>
        <v>159900604</v>
      </c>
      <c r="K12" s="53">
        <f>SUM(K13:K15)</f>
        <v>122411408</v>
      </c>
      <c r="L12" s="53">
        <f>SUM(L13:L15)</f>
        <v>179802191</v>
      </c>
      <c r="M12" s="53">
        <f>SUM(M13:M15)</f>
        <v>141114492</v>
      </c>
    </row>
    <row r="13" spans="1:13" ht="12.75">
      <c r="A13" s="210" t="s">
        <v>137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90469259</v>
      </c>
      <c r="K13" s="7">
        <v>73268144</v>
      </c>
      <c r="L13" s="7">
        <v>108541882</v>
      </c>
      <c r="M13" s="7">
        <f>+L13-16330459</f>
        <v>92211423</v>
      </c>
    </row>
    <row r="14" spans="1:13" ht="12.75">
      <c r="A14" s="210" t="s">
        <v>138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565038</v>
      </c>
      <c r="K14" s="7">
        <v>522163</v>
      </c>
      <c r="L14" s="7">
        <v>1255465</v>
      </c>
      <c r="M14" s="7">
        <f>+L14-19879</f>
        <v>1235586</v>
      </c>
    </row>
    <row r="15" spans="1:13" ht="12.75">
      <c r="A15" s="210" t="s">
        <v>52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68866307</v>
      </c>
      <c r="K15" s="7">
        <v>48621101</v>
      </c>
      <c r="L15" s="7">
        <v>70004844</v>
      </c>
      <c r="M15" s="7">
        <f>+L15-22337361</f>
        <v>47667483</v>
      </c>
    </row>
    <row r="16" spans="1:13" ht="12.75">
      <c r="A16" s="213" t="s">
        <v>19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3">
        <f>SUM(J17:J19)</f>
        <v>141185679</v>
      </c>
      <c r="K16" s="53">
        <f>SUM(K17:K19)</f>
        <v>98289066</v>
      </c>
      <c r="L16" s="53">
        <f>L17+L18+L19</f>
        <v>185760916</v>
      </c>
      <c r="M16" s="53">
        <f>SUM(M17:M19)</f>
        <v>131969534</v>
      </c>
    </row>
    <row r="17" spans="1:13" ht="12.75">
      <c r="A17" s="210" t="s">
        <v>53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86014541</v>
      </c>
      <c r="K17" s="7">
        <v>60318723</v>
      </c>
      <c r="L17" s="7">
        <v>111763065</v>
      </c>
      <c r="M17" s="7">
        <f>+L17-32075816</f>
        <v>79687249</v>
      </c>
    </row>
    <row r="18" spans="1:13" ht="12.75">
      <c r="A18" s="210" t="s">
        <v>54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35034227</v>
      </c>
      <c r="K18" s="7">
        <v>23919867</v>
      </c>
      <c r="L18" s="7">
        <v>47832412</v>
      </c>
      <c r="M18" s="7">
        <f>+L18-14265956</f>
        <v>33566456</v>
      </c>
    </row>
    <row r="19" spans="1:13" ht="12.75">
      <c r="A19" s="210" t="s">
        <v>55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20136911</v>
      </c>
      <c r="K19" s="7">
        <v>14050476</v>
      </c>
      <c r="L19" s="7">
        <v>26165439</v>
      </c>
      <c r="M19" s="7">
        <f>+L19-7449610</f>
        <v>18715829</v>
      </c>
    </row>
    <row r="20" spans="1:13" ht="12.75">
      <c r="A20" s="213" t="s">
        <v>96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118284009</v>
      </c>
      <c r="K20" s="7">
        <v>61947268</v>
      </c>
      <c r="L20" s="7">
        <v>133874756</v>
      </c>
      <c r="M20" s="7">
        <f>+L20-66193806</f>
        <v>67680950</v>
      </c>
    </row>
    <row r="21" spans="1:13" ht="12.75">
      <c r="A21" s="213" t="s">
        <v>97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49699510</v>
      </c>
      <c r="K21" s="7">
        <v>31290485</v>
      </c>
      <c r="L21" s="7">
        <v>50563921</v>
      </c>
      <c r="M21" s="7">
        <f>+L21-22830013</f>
        <v>27733908</v>
      </c>
    </row>
    <row r="22" spans="1:13" ht="12.75">
      <c r="A22" s="213" t="s">
        <v>20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41750</v>
      </c>
      <c r="K22" s="53">
        <f>SUM(K23:K24)</f>
        <v>38525</v>
      </c>
      <c r="L22" s="53">
        <f>SUM(L23:L24)</f>
        <v>69637</v>
      </c>
      <c r="M22" s="53">
        <f>SUM(M23:M24)</f>
        <v>50136</v>
      </c>
    </row>
    <row r="23" spans="1:13" ht="12.75">
      <c r="A23" s="210" t="s">
        <v>128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129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41750</v>
      </c>
      <c r="K24" s="7">
        <v>38525</v>
      </c>
      <c r="L24" s="7">
        <v>69637</v>
      </c>
      <c r="M24" s="7">
        <f>+L24-19501</f>
        <v>50136</v>
      </c>
    </row>
    <row r="25" spans="1:13" ht="12.75">
      <c r="A25" s="213" t="s">
        <v>98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41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1605125</v>
      </c>
      <c r="K26" s="7">
        <v>789407</v>
      </c>
      <c r="L26" s="7">
        <v>3137155</v>
      </c>
      <c r="M26" s="7">
        <f>+L26-2219393</f>
        <v>917762</v>
      </c>
    </row>
    <row r="27" spans="1:13" ht="12.75">
      <c r="A27" s="213" t="s">
        <v>201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3">
        <f>SUM(J28:J32)</f>
        <v>69275275</v>
      </c>
      <c r="K27" s="53">
        <f>SUM(K28:K32)</f>
        <v>38181248</v>
      </c>
      <c r="L27" s="53">
        <f>SUM(L28:L32)</f>
        <v>45183869</v>
      </c>
      <c r="M27" s="53">
        <f>SUM(M28:M32)</f>
        <v>14304108</v>
      </c>
    </row>
    <row r="28" spans="1:13" ht="13.5" customHeight="1">
      <c r="A28" s="259" t="s">
        <v>326</v>
      </c>
      <c r="B28" s="260"/>
      <c r="C28" s="260"/>
      <c r="D28" s="260"/>
      <c r="E28" s="260"/>
      <c r="F28" s="260"/>
      <c r="G28" s="260"/>
      <c r="H28" s="261"/>
      <c r="I28" s="1">
        <v>132</v>
      </c>
      <c r="J28" s="7"/>
      <c r="K28" s="7"/>
      <c r="L28" s="7"/>
      <c r="M28" s="7"/>
    </row>
    <row r="29" spans="1:13" ht="12.75" customHeight="1">
      <c r="A29" s="213" t="s">
        <v>327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26827021</v>
      </c>
      <c r="K29" s="7">
        <v>5242279</v>
      </c>
      <c r="L29" s="7">
        <v>36303532</v>
      </c>
      <c r="M29" s="7">
        <f>+L29-24606900</f>
        <v>11696632</v>
      </c>
    </row>
    <row r="30" spans="1:13" ht="12.75">
      <c r="A30" s="213" t="s">
        <v>130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211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5873651</v>
      </c>
      <c r="K31" s="7">
        <v>4962161</v>
      </c>
      <c r="L31" s="7">
        <v>7098050</v>
      </c>
      <c r="M31" s="7">
        <f>+L31-5592718</f>
        <v>1505332</v>
      </c>
    </row>
    <row r="32" spans="1:13" ht="12.75">
      <c r="A32" s="213" t="s">
        <v>131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36574603</v>
      </c>
      <c r="K32" s="7">
        <v>27976808</v>
      </c>
      <c r="L32" s="7">
        <v>1782287</v>
      </c>
      <c r="M32" s="7">
        <f>+L32-680143</f>
        <v>1102144</v>
      </c>
    </row>
    <row r="33" spans="1:13" ht="12.75">
      <c r="A33" s="213" t="s">
        <v>202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3">
        <f>SUM(J34:J37)</f>
        <v>25922361</v>
      </c>
      <c r="K33" s="53">
        <f>SUM(K34:K37)</f>
        <v>13073988</v>
      </c>
      <c r="L33" s="53">
        <v>23532337</v>
      </c>
      <c r="M33" s="53">
        <f>+L33-10627329</f>
        <v>12905008</v>
      </c>
    </row>
    <row r="34" spans="1:13" ht="12.75">
      <c r="A34" s="213" t="s">
        <v>57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53" t="s">
        <v>56</v>
      </c>
      <c r="B35" s="254"/>
      <c r="C35" s="254"/>
      <c r="D35" s="254"/>
      <c r="E35" s="254"/>
      <c r="F35" s="254"/>
      <c r="G35" s="254"/>
      <c r="H35" s="255"/>
      <c r="I35" s="1">
        <v>139</v>
      </c>
      <c r="J35" s="7">
        <v>20366260</v>
      </c>
      <c r="K35" s="7">
        <v>9909008</v>
      </c>
      <c r="L35" s="7">
        <v>21319575</v>
      </c>
      <c r="M35" s="7">
        <f>+L35-10326902</f>
        <v>10992673</v>
      </c>
    </row>
    <row r="36" spans="1:13" ht="12.75">
      <c r="A36" s="213" t="s">
        <v>212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4926588</v>
      </c>
      <c r="K36" s="7">
        <v>2873481</v>
      </c>
      <c r="L36" s="7">
        <v>1605295</v>
      </c>
      <c r="M36" s="7">
        <f>+L36-47549</f>
        <v>1557746</v>
      </c>
    </row>
    <row r="37" spans="1:13" ht="12.75">
      <c r="A37" s="213" t="s">
        <v>58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629513</v>
      </c>
      <c r="K37" s="7">
        <v>291499</v>
      </c>
      <c r="L37" s="7">
        <v>607467</v>
      </c>
      <c r="M37" s="7">
        <f>+L37-252878</f>
        <v>354589</v>
      </c>
    </row>
    <row r="38" spans="1:13" ht="12.75">
      <c r="A38" s="213" t="s">
        <v>183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213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214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203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3">
        <f>J7+J27+J38+J40</f>
        <v>498229614</v>
      </c>
      <c r="K42" s="53">
        <f>K7+K27+K38+K40</f>
        <v>416719900</v>
      </c>
      <c r="L42" s="53">
        <f>L7+L27+L38+L40</f>
        <v>536415373</v>
      </c>
      <c r="M42" s="53">
        <f>M7+M27+M38+M40</f>
        <v>474614019</v>
      </c>
    </row>
    <row r="43" spans="1:13" ht="12.75">
      <c r="A43" s="213" t="s">
        <v>204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3">
        <f>J10+J33+J39+J41</f>
        <v>496639038</v>
      </c>
      <c r="K43" s="53">
        <f>K10+K33+K39+K41</f>
        <v>327840147</v>
      </c>
      <c r="L43" s="53">
        <f>L10+L33+L39+L41</f>
        <v>576740913</v>
      </c>
      <c r="M43" s="53">
        <f>M10+M33+M39+M41</f>
        <v>382371790</v>
      </c>
    </row>
    <row r="44" spans="1:13" ht="12.75">
      <c r="A44" s="213" t="s">
        <v>222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3">
        <f>J42-J43</f>
        <v>1590576</v>
      </c>
      <c r="K44" s="53">
        <f>K42-K43</f>
        <v>88879753</v>
      </c>
      <c r="L44" s="53">
        <f>L42-L43</f>
        <v>-40325540</v>
      </c>
      <c r="M44" s="53">
        <f>M42-M43</f>
        <v>92242229</v>
      </c>
    </row>
    <row r="45" spans="1:13" ht="12.75">
      <c r="A45" s="221" t="s">
        <v>206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1590576</v>
      </c>
      <c r="K45" s="53">
        <f>IF(K42&gt;K43,K42-K43,0)</f>
        <v>88879753</v>
      </c>
      <c r="L45" s="53">
        <f>IF(L42&gt;L43,L42-L43,0)</f>
        <v>0</v>
      </c>
      <c r="M45" s="53">
        <f>IF(M42&gt;M43,M42-M43,0)</f>
        <v>92242229</v>
      </c>
    </row>
    <row r="46" spans="1:13" ht="12.75">
      <c r="A46" s="221" t="s">
        <v>207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40325540</v>
      </c>
      <c r="M46" s="53">
        <f>IF(M43&gt;M42,M43-M42,0)</f>
        <v>0</v>
      </c>
    </row>
    <row r="47" spans="1:13" ht="12.75">
      <c r="A47" s="213" t="s">
        <v>205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223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3">
        <f>J44-J47</f>
        <v>1590576</v>
      </c>
      <c r="K48" s="53">
        <f>K44-K47</f>
        <v>88879753</v>
      </c>
      <c r="L48" s="53">
        <f>L44-L47</f>
        <v>-40325540</v>
      </c>
      <c r="M48" s="53">
        <f>M44-M47</f>
        <v>92242229</v>
      </c>
    </row>
    <row r="49" spans="1:13" ht="12.75">
      <c r="A49" s="221" t="s">
        <v>181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1590576</v>
      </c>
      <c r="K49" s="53">
        <f>IF(K48&gt;0,K48,0)</f>
        <v>88879753</v>
      </c>
      <c r="L49" s="53">
        <f>IF(L48&gt;0,L48,0)</f>
        <v>0</v>
      </c>
      <c r="M49" s="53">
        <f>IF(M48&gt;0,M48,0)</f>
        <v>92242229</v>
      </c>
    </row>
    <row r="50" spans="1:13" ht="12.75">
      <c r="A50" s="256" t="s">
        <v>208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40325540</v>
      </c>
      <c r="M50" s="61">
        <f>IF(M48&lt;0,-M48,0)</f>
        <v>0</v>
      </c>
    </row>
    <row r="51" spans="1:13" ht="12.75" customHeight="1">
      <c r="A51" s="202" t="s">
        <v>297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176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50" t="s">
        <v>220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+J48</f>
        <v>1590576</v>
      </c>
      <c r="K53" s="7">
        <f>+K48</f>
        <v>88879753</v>
      </c>
      <c r="L53" s="7">
        <f>+L48</f>
        <v>-40325540</v>
      </c>
      <c r="M53" s="7">
        <f>+M48</f>
        <v>92242229</v>
      </c>
    </row>
    <row r="54" spans="1:13" ht="12.75">
      <c r="A54" s="250" t="s">
        <v>221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178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192</v>
      </c>
      <c r="B56" s="207"/>
      <c r="C56" s="207"/>
      <c r="D56" s="207"/>
      <c r="E56" s="207"/>
      <c r="F56" s="207"/>
      <c r="G56" s="207"/>
      <c r="H56" s="224"/>
      <c r="I56" s="9">
        <v>157</v>
      </c>
      <c r="J56" s="6">
        <f>+J53</f>
        <v>1590576</v>
      </c>
      <c r="K56" s="6">
        <f>+K53</f>
        <v>88879753</v>
      </c>
      <c r="L56" s="6">
        <f>+L53</f>
        <v>-40325540</v>
      </c>
      <c r="M56" s="6">
        <f>+M53</f>
        <v>92242229</v>
      </c>
    </row>
    <row r="57" spans="1:13" ht="12.75">
      <c r="A57" s="213" t="s">
        <v>209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-33999145</v>
      </c>
      <c r="K57" s="53">
        <f>SUM(K58:K64)</f>
        <v>-24982265</v>
      </c>
      <c r="L57" s="53">
        <f>SUM(L58:L64)</f>
        <v>15028</v>
      </c>
      <c r="M57" s="53">
        <f>SUM(M58:M64)</f>
        <v>9862</v>
      </c>
    </row>
    <row r="58" spans="1:13" ht="12.75">
      <c r="A58" s="213" t="s">
        <v>215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53" t="s">
        <v>329</v>
      </c>
      <c r="B59" s="254"/>
      <c r="C59" s="254"/>
      <c r="D59" s="254"/>
      <c r="E59" s="254"/>
      <c r="F59" s="254"/>
      <c r="G59" s="254"/>
      <c r="H59" s="255"/>
      <c r="I59" s="1">
        <v>160</v>
      </c>
      <c r="J59" s="7"/>
      <c r="K59" s="7"/>
      <c r="L59" s="7"/>
      <c r="M59" s="7"/>
    </row>
    <row r="60" spans="1:13" ht="12.75" customHeight="1">
      <c r="A60" s="253" t="s">
        <v>330</v>
      </c>
      <c r="B60" s="254"/>
      <c r="C60" s="254"/>
      <c r="D60" s="254"/>
      <c r="E60" s="254"/>
      <c r="F60" s="254"/>
      <c r="G60" s="254"/>
      <c r="H60" s="255"/>
      <c r="I60" s="1">
        <v>161</v>
      </c>
      <c r="J60" s="7">
        <v>-33999145</v>
      </c>
      <c r="K60" s="7">
        <v>-24982265</v>
      </c>
      <c r="L60" s="7">
        <v>15028</v>
      </c>
      <c r="M60" s="7">
        <v>9862</v>
      </c>
    </row>
    <row r="61" spans="1:13" ht="12.75">
      <c r="A61" s="213" t="s">
        <v>216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217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218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219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210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-2687971</v>
      </c>
      <c r="K65" s="7">
        <v>-884594</v>
      </c>
      <c r="L65" s="7">
        <v>3005</v>
      </c>
      <c r="M65" s="7">
        <v>1972</v>
      </c>
    </row>
    <row r="66" spans="1:13" ht="12.75" customHeight="1">
      <c r="A66" s="213" t="s">
        <v>331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-31311174</v>
      </c>
      <c r="K66" s="53">
        <f>K57-K65</f>
        <v>-24097671</v>
      </c>
      <c r="L66" s="53">
        <f>L57-L65</f>
        <v>12023</v>
      </c>
      <c r="M66" s="53">
        <f>M57-M65</f>
        <v>7890</v>
      </c>
    </row>
    <row r="67" spans="1:13" ht="12.75">
      <c r="A67" s="213" t="s">
        <v>182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1">
        <f>J56+J66</f>
        <v>-29720598</v>
      </c>
      <c r="K67" s="61">
        <f>K56+K66</f>
        <v>64782082</v>
      </c>
      <c r="L67" s="61">
        <f>L56+L66</f>
        <v>-40313517</v>
      </c>
      <c r="M67" s="61">
        <f>M56+M66</f>
        <v>92250119</v>
      </c>
    </row>
    <row r="68" spans="1:13" ht="12.75" customHeight="1">
      <c r="A68" s="246" t="s">
        <v>298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177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220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221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110" zoomScaleSheetLayoutView="110" zoomScalePageLayoutView="0" workbookViewId="0" topLeftCell="A28">
      <selection activeCell="K42" sqref="K42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1" t="s">
        <v>154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323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3" t="s">
        <v>50</v>
      </c>
      <c r="B4" s="273"/>
      <c r="C4" s="273"/>
      <c r="D4" s="273"/>
      <c r="E4" s="273"/>
      <c r="F4" s="273"/>
      <c r="G4" s="273"/>
      <c r="H4" s="273"/>
      <c r="I4" s="66" t="s">
        <v>265</v>
      </c>
      <c r="J4" s="67" t="s">
        <v>304</v>
      </c>
      <c r="K4" s="67" t="s">
        <v>305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269</v>
      </c>
      <c r="K5" s="69" t="s">
        <v>270</v>
      </c>
    </row>
    <row r="6" spans="1:11" ht="12.75">
      <c r="A6" s="202" t="s">
        <v>146</v>
      </c>
      <c r="B6" s="203"/>
      <c r="C6" s="203"/>
      <c r="D6" s="203"/>
      <c r="E6" s="203"/>
      <c r="F6" s="203"/>
      <c r="G6" s="203"/>
      <c r="H6" s="203"/>
      <c r="I6" s="265"/>
      <c r="J6" s="265"/>
      <c r="K6" s="266"/>
    </row>
    <row r="7" spans="1:11" ht="12.75">
      <c r="A7" s="210" t="s">
        <v>32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1590576</v>
      </c>
      <c r="K7" s="7">
        <v>-40325540</v>
      </c>
    </row>
    <row r="8" spans="1:11" ht="12.75">
      <c r="A8" s="210" t="s">
        <v>33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118284009</v>
      </c>
      <c r="K8" s="7">
        <v>133874757</v>
      </c>
    </row>
    <row r="9" spans="1:11" ht="12.75">
      <c r="A9" s="210" t="s">
        <v>34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231414966</v>
      </c>
      <c r="K9" s="7">
        <v>235689794</v>
      </c>
    </row>
    <row r="10" spans="1:11" ht="12.75">
      <c r="A10" s="210" t="s">
        <v>35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/>
    </row>
    <row r="11" spans="1:11" ht="12.75">
      <c r="A11" s="210" t="s">
        <v>36</v>
      </c>
      <c r="B11" s="211"/>
      <c r="C11" s="211"/>
      <c r="D11" s="211"/>
      <c r="E11" s="211"/>
      <c r="F11" s="211"/>
      <c r="G11" s="211"/>
      <c r="H11" s="211"/>
      <c r="I11" s="1">
        <v>5</v>
      </c>
      <c r="J11" s="7"/>
      <c r="K11" s="7"/>
    </row>
    <row r="12" spans="1:11" ht="12.75">
      <c r="A12" s="210" t="s">
        <v>42</v>
      </c>
      <c r="B12" s="211"/>
      <c r="C12" s="211"/>
      <c r="D12" s="211"/>
      <c r="E12" s="211"/>
      <c r="F12" s="211"/>
      <c r="G12" s="211"/>
      <c r="H12" s="211"/>
      <c r="I12" s="1">
        <v>6</v>
      </c>
      <c r="J12" s="7"/>
      <c r="K12" s="7"/>
    </row>
    <row r="13" spans="1:11" ht="12.75">
      <c r="A13" s="213" t="s">
        <v>147</v>
      </c>
      <c r="B13" s="214"/>
      <c r="C13" s="214"/>
      <c r="D13" s="214"/>
      <c r="E13" s="214"/>
      <c r="F13" s="214"/>
      <c r="G13" s="214"/>
      <c r="H13" s="214"/>
      <c r="I13" s="1">
        <v>7</v>
      </c>
      <c r="J13" s="53">
        <f>SUM(J7:J12)</f>
        <v>351289551</v>
      </c>
      <c r="K13" s="53">
        <f>SUM(K7:K12)</f>
        <v>329239011</v>
      </c>
    </row>
    <row r="14" spans="1:11" ht="12.75">
      <c r="A14" s="210" t="s">
        <v>43</v>
      </c>
      <c r="B14" s="211"/>
      <c r="C14" s="211"/>
      <c r="D14" s="211"/>
      <c r="E14" s="211"/>
      <c r="F14" s="211"/>
      <c r="G14" s="211"/>
      <c r="H14" s="211"/>
      <c r="I14" s="1">
        <v>8</v>
      </c>
      <c r="J14" s="7"/>
      <c r="K14" s="7"/>
    </row>
    <row r="15" spans="1:11" ht="12.75">
      <c r="A15" s="210" t="s">
        <v>44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115458931</v>
      </c>
      <c r="K15" s="7">
        <v>37456370</v>
      </c>
    </row>
    <row r="16" spans="1:11" ht="12.75">
      <c r="A16" s="210" t="s">
        <v>45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5641868</v>
      </c>
      <c r="K16" s="7">
        <v>1555610</v>
      </c>
    </row>
    <row r="17" spans="1:11" ht="12.75">
      <c r="A17" s="210" t="s">
        <v>46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52062667</v>
      </c>
      <c r="K17" s="7">
        <v>85650520</v>
      </c>
    </row>
    <row r="18" spans="1:11" ht="12.75">
      <c r="A18" s="213" t="s">
        <v>148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3">
        <f>SUM(J14:J17)</f>
        <v>173163466</v>
      </c>
      <c r="K18" s="53">
        <f>SUM(K14:K17)</f>
        <v>124662500</v>
      </c>
    </row>
    <row r="19" spans="1:11" ht="12.75">
      <c r="A19" s="213" t="s">
        <v>332</v>
      </c>
      <c r="B19" s="214"/>
      <c r="C19" s="214"/>
      <c r="D19" s="214"/>
      <c r="E19" s="214"/>
      <c r="F19" s="214"/>
      <c r="G19" s="214"/>
      <c r="H19" s="215"/>
      <c r="I19" s="1">
        <v>13</v>
      </c>
      <c r="J19" s="53">
        <f>IF(J13&gt;J18,J13-J18,0)</f>
        <v>178126085</v>
      </c>
      <c r="K19" s="53">
        <f>IF(K13&gt;K18,K13-K18,0)</f>
        <v>204576511</v>
      </c>
    </row>
    <row r="20" spans="1:11" ht="12.75">
      <c r="A20" s="225" t="s">
        <v>333</v>
      </c>
      <c r="B20" s="226"/>
      <c r="C20" s="226"/>
      <c r="D20" s="226"/>
      <c r="E20" s="226"/>
      <c r="F20" s="226"/>
      <c r="G20" s="226"/>
      <c r="H20" s="227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02" t="s">
        <v>149</v>
      </c>
      <c r="B21" s="203"/>
      <c r="C21" s="203"/>
      <c r="D21" s="203"/>
      <c r="E21" s="203"/>
      <c r="F21" s="203"/>
      <c r="G21" s="203"/>
      <c r="H21" s="203"/>
      <c r="I21" s="265"/>
      <c r="J21" s="265"/>
      <c r="K21" s="266"/>
    </row>
    <row r="22" spans="1:11" ht="12.75">
      <c r="A22" s="210" t="s">
        <v>168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/>
      <c r="K22" s="7"/>
    </row>
    <row r="23" spans="1:11" ht="12.75">
      <c r="A23" s="210" t="s">
        <v>169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39024277</v>
      </c>
      <c r="K23" s="7">
        <v>36654500</v>
      </c>
    </row>
    <row r="24" spans="1:11" ht="12.75">
      <c r="A24" s="210" t="s">
        <v>170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/>
      <c r="K24" s="7"/>
    </row>
    <row r="25" spans="1:11" ht="12.75">
      <c r="A25" s="210" t="s">
        <v>171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/>
      <c r="K25" s="7"/>
    </row>
    <row r="26" spans="1:11" ht="12.75">
      <c r="A26" s="210" t="s">
        <v>172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2549</v>
      </c>
      <c r="K26" s="7">
        <v>1635241</v>
      </c>
    </row>
    <row r="27" spans="1:11" ht="12.75">
      <c r="A27" s="213" t="s">
        <v>158</v>
      </c>
      <c r="B27" s="214"/>
      <c r="C27" s="214"/>
      <c r="D27" s="214"/>
      <c r="E27" s="214"/>
      <c r="F27" s="214"/>
      <c r="G27" s="214"/>
      <c r="H27" s="214"/>
      <c r="I27" s="1">
        <v>20</v>
      </c>
      <c r="J27" s="53">
        <f>SUM(J22:J26)</f>
        <v>39026826</v>
      </c>
      <c r="K27" s="53">
        <f>SUM(K22:K26)</f>
        <v>38289741</v>
      </c>
    </row>
    <row r="28" spans="1:11" ht="12.75">
      <c r="A28" s="210" t="s">
        <v>106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169461124</v>
      </c>
      <c r="K28" s="7">
        <v>556566157</v>
      </c>
    </row>
    <row r="29" spans="1:11" ht="12.75">
      <c r="A29" s="210" t="s">
        <v>107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/>
    </row>
    <row r="30" spans="1:11" ht="12.75">
      <c r="A30" s="210" t="s">
        <v>14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530826</v>
      </c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53">
        <f>SUM(J28:J30)</f>
        <v>169991950</v>
      </c>
      <c r="K31" s="53">
        <f>SUM(K28:K30)</f>
        <v>556566157</v>
      </c>
    </row>
    <row r="32" spans="1:11" ht="12.75">
      <c r="A32" s="213" t="s">
        <v>334</v>
      </c>
      <c r="B32" s="214"/>
      <c r="C32" s="214"/>
      <c r="D32" s="214"/>
      <c r="E32" s="214"/>
      <c r="F32" s="214"/>
      <c r="G32" s="214"/>
      <c r="H32" s="21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25" t="s">
        <v>335</v>
      </c>
      <c r="B33" s="226"/>
      <c r="C33" s="226"/>
      <c r="D33" s="226"/>
      <c r="E33" s="226"/>
      <c r="F33" s="226"/>
      <c r="G33" s="226"/>
      <c r="H33" s="227"/>
      <c r="I33" s="1">
        <v>26</v>
      </c>
      <c r="J33" s="53">
        <f>IF(J31&gt;J27,J31-J27,0)</f>
        <v>130965124</v>
      </c>
      <c r="K33" s="53">
        <f>IF(K31&gt;K27,K31-K27,0)</f>
        <v>518276416</v>
      </c>
    </row>
    <row r="34" spans="1:11" ht="12.75">
      <c r="A34" s="202" t="s">
        <v>150</v>
      </c>
      <c r="B34" s="203"/>
      <c r="C34" s="203"/>
      <c r="D34" s="203"/>
      <c r="E34" s="203"/>
      <c r="F34" s="203"/>
      <c r="G34" s="203"/>
      <c r="H34" s="203"/>
      <c r="I34" s="265"/>
      <c r="J34" s="265"/>
      <c r="K34" s="266"/>
    </row>
    <row r="35" spans="1:11" ht="12.75">
      <c r="A35" s="210" t="s">
        <v>164</v>
      </c>
      <c r="B35" s="211"/>
      <c r="C35" s="211"/>
      <c r="D35" s="211"/>
      <c r="E35" s="211"/>
      <c r="F35" s="211"/>
      <c r="G35" s="211"/>
      <c r="H35" s="211"/>
      <c r="I35" s="1">
        <v>27</v>
      </c>
      <c r="J35" s="132"/>
      <c r="K35" s="6">
        <v>1640052</v>
      </c>
    </row>
    <row r="36" spans="1:11" ht="12.75">
      <c r="A36" s="210" t="s">
        <v>25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153895331</v>
      </c>
      <c r="K36" s="7">
        <v>280922103</v>
      </c>
    </row>
    <row r="37" spans="1:11" ht="12.75">
      <c r="A37" s="210" t="s">
        <v>26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/>
      <c r="K37" s="7">
        <v>12023</v>
      </c>
    </row>
    <row r="38" spans="1:11" ht="12.75">
      <c r="A38" s="213" t="s">
        <v>59</v>
      </c>
      <c r="B38" s="214"/>
      <c r="C38" s="214"/>
      <c r="D38" s="214"/>
      <c r="E38" s="214"/>
      <c r="F38" s="214"/>
      <c r="G38" s="214"/>
      <c r="H38" s="214"/>
      <c r="I38" s="1">
        <v>30</v>
      </c>
      <c r="J38" s="53">
        <f>SUM(J36:J37)</f>
        <v>153895331</v>
      </c>
      <c r="K38" s="53">
        <f>SUM(K35:K37)</f>
        <v>282574178</v>
      </c>
    </row>
    <row r="39" spans="1:11" ht="12.75">
      <c r="A39" s="210" t="s">
        <v>27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110035621</v>
      </c>
      <c r="K39" s="7"/>
    </row>
    <row r="40" spans="1:11" ht="12.75">
      <c r="A40" s="210" t="s">
        <v>28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37330521</v>
      </c>
      <c r="K40" s="7">
        <v>98342353</v>
      </c>
    </row>
    <row r="41" spans="1:11" ht="12.75">
      <c r="A41" s="210" t="s">
        <v>29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30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35692643</v>
      </c>
      <c r="K42" s="7"/>
    </row>
    <row r="43" spans="1:11" ht="12.75">
      <c r="A43" s="210" t="s">
        <v>31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/>
      <c r="K43" s="7">
        <v>10214959</v>
      </c>
    </row>
    <row r="44" spans="1:11" ht="12.75">
      <c r="A44" s="213" t="s">
        <v>60</v>
      </c>
      <c r="B44" s="214"/>
      <c r="C44" s="214"/>
      <c r="D44" s="214"/>
      <c r="E44" s="214"/>
      <c r="F44" s="214"/>
      <c r="G44" s="214"/>
      <c r="H44" s="214"/>
      <c r="I44" s="1">
        <v>36</v>
      </c>
      <c r="J44" s="53">
        <f>SUM(J39:J43)</f>
        <v>183058785</v>
      </c>
      <c r="K44" s="53">
        <f>SUM(K39:K43)</f>
        <v>108557312</v>
      </c>
    </row>
    <row r="45" spans="1:11" ht="12.75">
      <c r="A45" s="253" t="s">
        <v>336</v>
      </c>
      <c r="B45" s="254"/>
      <c r="C45" s="254"/>
      <c r="D45" s="254"/>
      <c r="E45" s="254"/>
      <c r="F45" s="254"/>
      <c r="G45" s="254"/>
      <c r="H45" s="255"/>
      <c r="I45" s="1">
        <v>37</v>
      </c>
      <c r="J45" s="53">
        <f>IF(J38&gt;J44,J38-J44,0)</f>
        <v>0</v>
      </c>
      <c r="K45" s="53">
        <f>IF(K38&gt;K44,K38-K44,0)</f>
        <v>174016866</v>
      </c>
    </row>
    <row r="46" spans="1:11" ht="12.75">
      <c r="A46" s="253" t="s">
        <v>337</v>
      </c>
      <c r="B46" s="254"/>
      <c r="C46" s="254"/>
      <c r="D46" s="254"/>
      <c r="E46" s="254"/>
      <c r="F46" s="254"/>
      <c r="G46" s="254"/>
      <c r="H46" s="255"/>
      <c r="I46" s="1">
        <v>38</v>
      </c>
      <c r="J46" s="53">
        <f>IF(J44&gt;J38,J44-J38,0)</f>
        <v>29163454</v>
      </c>
      <c r="K46" s="53">
        <f>IF(K44&gt;K38,K44-K38,0)</f>
        <v>0</v>
      </c>
    </row>
    <row r="47" spans="1:12" ht="12.75">
      <c r="A47" s="210" t="s">
        <v>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53">
        <f>IF(J19-J20+J32-J33+J45-J46&gt;0,J19-J20+J32-J33+J45-J46,0)</f>
        <v>17997507</v>
      </c>
      <c r="K47" s="53">
        <f>IF(K19-K20+K32-K33+K45-K46&gt;0,K19-K20+K32-K33+K45-K46,0)</f>
        <v>0</v>
      </c>
      <c r="L47" s="127"/>
    </row>
    <row r="48" spans="1:12" ht="12.75">
      <c r="A48" s="210" t="s">
        <v>62</v>
      </c>
      <c r="B48" s="211"/>
      <c r="C48" s="211"/>
      <c r="D48" s="211"/>
      <c r="E48" s="211"/>
      <c r="F48" s="211"/>
      <c r="G48" s="211"/>
      <c r="H48" s="211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139683039</v>
      </c>
      <c r="L48" s="127"/>
    </row>
    <row r="49" spans="1:11" ht="12.75">
      <c r="A49" s="210" t="s">
        <v>151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301797080</v>
      </c>
      <c r="K49" s="7">
        <v>237647697</v>
      </c>
    </row>
    <row r="50" spans="1:11" ht="12.75">
      <c r="A50" s="210" t="s">
        <v>165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17997507</v>
      </c>
      <c r="K50" s="7"/>
    </row>
    <row r="51" spans="1:13" ht="12.75">
      <c r="A51" s="210" t="s">
        <v>166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f>+J48</f>
        <v>0</v>
      </c>
      <c r="K51" s="7">
        <f>+K48</f>
        <v>139683039</v>
      </c>
      <c r="M51" s="127"/>
    </row>
    <row r="52" spans="1:11" ht="12.75">
      <c r="A52" s="216" t="s">
        <v>167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1">
        <f>J49+J50-J51</f>
        <v>319794587</v>
      </c>
      <c r="K52" s="61">
        <f>K49+K50-K51</f>
        <v>97964658</v>
      </c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65536 J1:J34 J36:J65536 K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185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324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2.5">
      <c r="A4" s="273" t="s">
        <v>50</v>
      </c>
      <c r="B4" s="273"/>
      <c r="C4" s="273"/>
      <c r="D4" s="273"/>
      <c r="E4" s="273"/>
      <c r="F4" s="273"/>
      <c r="G4" s="273"/>
      <c r="H4" s="273"/>
      <c r="I4" s="66" t="s">
        <v>265</v>
      </c>
      <c r="J4" s="67" t="s">
        <v>304</v>
      </c>
      <c r="K4" s="67" t="s">
        <v>305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269</v>
      </c>
      <c r="K5" s="73" t="s">
        <v>270</v>
      </c>
    </row>
    <row r="6" spans="1:11" ht="12.75">
      <c r="A6" s="202" t="s">
        <v>146</v>
      </c>
      <c r="B6" s="203"/>
      <c r="C6" s="203"/>
      <c r="D6" s="203"/>
      <c r="E6" s="203"/>
      <c r="F6" s="203"/>
      <c r="G6" s="203"/>
      <c r="H6" s="203"/>
      <c r="I6" s="265"/>
      <c r="J6" s="265"/>
      <c r="K6" s="266"/>
    </row>
    <row r="7" spans="1:11" ht="12.75">
      <c r="A7" s="210" t="s">
        <v>187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110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111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113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186</v>
      </c>
      <c r="B12" s="214"/>
      <c r="C12" s="214"/>
      <c r="D12" s="214"/>
      <c r="E12" s="214"/>
      <c r="F12" s="214"/>
      <c r="G12" s="214"/>
      <c r="H12" s="21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114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115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116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117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118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119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38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3" t="s">
        <v>99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5" t="s">
        <v>100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2" t="s">
        <v>149</v>
      </c>
      <c r="B22" s="203"/>
      <c r="C22" s="203"/>
      <c r="D22" s="203"/>
      <c r="E22" s="203"/>
      <c r="F22" s="203"/>
      <c r="G22" s="203"/>
      <c r="H22" s="203"/>
      <c r="I22" s="265"/>
      <c r="J22" s="265"/>
      <c r="K22" s="266"/>
    </row>
    <row r="23" spans="1:11" ht="12.75">
      <c r="A23" s="210" t="s">
        <v>155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156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306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307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157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105</v>
      </c>
      <c r="B28" s="214"/>
      <c r="C28" s="214"/>
      <c r="D28" s="214"/>
      <c r="E28" s="214"/>
      <c r="F28" s="214"/>
      <c r="G28" s="214"/>
      <c r="H28" s="21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39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3" t="s">
        <v>101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3" t="s">
        <v>102</v>
      </c>
      <c r="B34" s="214"/>
      <c r="C34" s="214"/>
      <c r="D34" s="214"/>
      <c r="E34" s="214"/>
      <c r="F34" s="214"/>
      <c r="G34" s="214"/>
      <c r="H34" s="21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2" t="s">
        <v>150</v>
      </c>
      <c r="B35" s="203"/>
      <c r="C35" s="203"/>
      <c r="D35" s="203"/>
      <c r="E35" s="203"/>
      <c r="F35" s="203"/>
      <c r="G35" s="203"/>
      <c r="H35" s="203"/>
      <c r="I35" s="265">
        <v>0</v>
      </c>
      <c r="J35" s="265"/>
      <c r="K35" s="266"/>
    </row>
    <row r="36" spans="1:11" ht="12.75">
      <c r="A36" s="210" t="s">
        <v>164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25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26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27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28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29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30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31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139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3" t="s">
        <v>152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3" t="s">
        <v>153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3" t="s">
        <v>140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13</v>
      </c>
      <c r="B49" s="214"/>
      <c r="C49" s="214"/>
      <c r="D49" s="214"/>
      <c r="E49" s="214"/>
      <c r="F49" s="214"/>
      <c r="G49" s="214"/>
      <c r="H49" s="21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151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165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166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167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N16" sqref="N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96" t="s">
        <v>267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5"/>
    </row>
    <row r="2" spans="1:12" ht="15">
      <c r="A2" s="42"/>
      <c r="B2" s="74"/>
      <c r="C2" s="281" t="s">
        <v>268</v>
      </c>
      <c r="D2" s="281"/>
      <c r="E2" s="131" t="s">
        <v>339</v>
      </c>
      <c r="F2" s="43" t="s">
        <v>236</v>
      </c>
      <c r="G2" s="282" t="s">
        <v>340</v>
      </c>
      <c r="H2" s="283"/>
      <c r="I2" s="74"/>
      <c r="J2" s="74"/>
      <c r="K2" s="74"/>
      <c r="L2" s="77"/>
    </row>
    <row r="3" spans="1:11" ht="22.5">
      <c r="A3" s="284" t="s">
        <v>50</v>
      </c>
      <c r="B3" s="284"/>
      <c r="C3" s="284"/>
      <c r="D3" s="284"/>
      <c r="E3" s="284"/>
      <c r="F3" s="284"/>
      <c r="G3" s="284"/>
      <c r="H3" s="284"/>
      <c r="I3" s="80" t="s">
        <v>291</v>
      </c>
      <c r="J3" s="81" t="s">
        <v>141</v>
      </c>
      <c r="K3" s="81" t="s">
        <v>142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3">
        <v>2</v>
      </c>
      <c r="J4" s="82" t="s">
        <v>269</v>
      </c>
      <c r="K4" s="82" t="s">
        <v>270</v>
      </c>
    </row>
    <row r="5" spans="1:11" ht="12.75">
      <c r="A5" s="286" t="s">
        <v>271</v>
      </c>
      <c r="B5" s="287"/>
      <c r="C5" s="287"/>
      <c r="D5" s="287"/>
      <c r="E5" s="287"/>
      <c r="F5" s="287"/>
      <c r="G5" s="287"/>
      <c r="H5" s="287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6" t="s">
        <v>272</v>
      </c>
      <c r="B6" s="287"/>
      <c r="C6" s="287"/>
      <c r="D6" s="287"/>
      <c r="E6" s="287"/>
      <c r="F6" s="287"/>
      <c r="G6" s="287"/>
      <c r="H6" s="287"/>
      <c r="I6" s="44">
        <v>2</v>
      </c>
      <c r="J6" s="7">
        <f>+Bilanca!J71</f>
        <v>2204690</v>
      </c>
      <c r="K6" s="7">
        <f>+Bilanca!K71</f>
        <v>3602906</v>
      </c>
    </row>
    <row r="7" spans="1:11" ht="12.75">
      <c r="A7" s="286" t="s">
        <v>273</v>
      </c>
      <c r="B7" s="287"/>
      <c r="C7" s="287"/>
      <c r="D7" s="287"/>
      <c r="E7" s="287"/>
      <c r="F7" s="287"/>
      <c r="G7" s="287"/>
      <c r="H7" s="287"/>
      <c r="I7" s="44">
        <v>3</v>
      </c>
      <c r="J7" s="7">
        <f>+Bilanca!J72</f>
        <v>84401862</v>
      </c>
      <c r="K7" s="7">
        <f>+Bilanca!K72</f>
        <v>102055847</v>
      </c>
    </row>
    <row r="8" spans="1:11" ht="12.75">
      <c r="A8" s="286" t="s">
        <v>274</v>
      </c>
      <c r="B8" s="287"/>
      <c r="C8" s="287"/>
      <c r="D8" s="287"/>
      <c r="E8" s="287"/>
      <c r="F8" s="287"/>
      <c r="G8" s="287"/>
      <c r="H8" s="287"/>
      <c r="I8" s="44">
        <v>4</v>
      </c>
      <c r="J8" s="7">
        <f>+Bilanca!J79</f>
        <v>228523684</v>
      </c>
      <c r="K8" s="7">
        <f>+Bilanca!K79</f>
        <v>439340145</v>
      </c>
    </row>
    <row r="9" spans="1:11" ht="12.75">
      <c r="A9" s="286" t="s">
        <v>275</v>
      </c>
      <c r="B9" s="287"/>
      <c r="C9" s="287"/>
      <c r="D9" s="287"/>
      <c r="E9" s="287"/>
      <c r="F9" s="287"/>
      <c r="G9" s="287"/>
      <c r="H9" s="287"/>
      <c r="I9" s="44">
        <v>5</v>
      </c>
      <c r="J9" s="7">
        <f>+Bilanca!J82</f>
        <v>336657721</v>
      </c>
      <c r="K9" s="7">
        <f>+Bilanca!K82</f>
        <v>-40325540</v>
      </c>
    </row>
    <row r="10" spans="1:11" ht="12.75">
      <c r="A10" s="286" t="s">
        <v>276</v>
      </c>
      <c r="B10" s="287"/>
      <c r="C10" s="287"/>
      <c r="D10" s="287"/>
      <c r="E10" s="287"/>
      <c r="F10" s="287"/>
      <c r="G10" s="287"/>
      <c r="H10" s="287"/>
      <c r="I10" s="44">
        <v>6</v>
      </c>
      <c r="J10" s="7"/>
      <c r="K10" s="46"/>
    </row>
    <row r="11" spans="1:11" ht="12.75">
      <c r="A11" s="286" t="s">
        <v>277</v>
      </c>
      <c r="B11" s="287"/>
      <c r="C11" s="287"/>
      <c r="D11" s="287"/>
      <c r="E11" s="287"/>
      <c r="F11" s="287"/>
      <c r="G11" s="287"/>
      <c r="H11" s="287"/>
      <c r="I11" s="44">
        <v>7</v>
      </c>
      <c r="J11" s="7"/>
      <c r="K11" s="46"/>
    </row>
    <row r="12" spans="1:12" ht="12.75">
      <c r="A12" s="286" t="s">
        <v>278</v>
      </c>
      <c r="B12" s="287"/>
      <c r="C12" s="287"/>
      <c r="D12" s="287"/>
      <c r="E12" s="287"/>
      <c r="F12" s="287"/>
      <c r="G12" s="287"/>
      <c r="H12" s="287"/>
      <c r="I12" s="44">
        <v>8</v>
      </c>
      <c r="J12" s="7">
        <f>+Bilanca!J78</f>
        <v>273313</v>
      </c>
      <c r="K12" s="7">
        <f>+Bilanca!K78</f>
        <v>285337</v>
      </c>
      <c r="L12" s="126"/>
    </row>
    <row r="13" spans="1:11" ht="12.75">
      <c r="A13" s="286" t="s">
        <v>279</v>
      </c>
      <c r="B13" s="287"/>
      <c r="C13" s="287"/>
      <c r="D13" s="287"/>
      <c r="E13" s="287"/>
      <c r="F13" s="287"/>
      <c r="G13" s="287"/>
      <c r="H13" s="287"/>
      <c r="I13" s="44">
        <v>9</v>
      </c>
      <c r="J13" s="7"/>
      <c r="K13" s="46"/>
    </row>
    <row r="14" spans="1:11" ht="12.75">
      <c r="A14" s="288" t="s">
        <v>280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8">
        <f>SUM(J5:J13)</f>
        <v>2324082480</v>
      </c>
      <c r="K14" s="53">
        <f>SUM(K5:K13)</f>
        <v>2176979905</v>
      </c>
    </row>
    <row r="15" spans="1:11" ht="12.75">
      <c r="A15" s="286" t="s">
        <v>281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282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283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284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285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286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287</v>
      </c>
      <c r="B21" s="289"/>
      <c r="C21" s="289"/>
      <c r="D21" s="289"/>
      <c r="E21" s="289"/>
      <c r="F21" s="289"/>
      <c r="G21" s="289"/>
      <c r="H21" s="289"/>
      <c r="I21" s="44">
        <v>17</v>
      </c>
      <c r="J21" s="79"/>
      <c r="K21" s="79"/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288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1" ht="17.25" customHeight="1">
      <c r="A24" s="292" t="s">
        <v>289</v>
      </c>
      <c r="B24" s="293"/>
      <c r="C24" s="293"/>
      <c r="D24" s="293"/>
      <c r="E24" s="293"/>
      <c r="F24" s="293"/>
      <c r="G24" s="293"/>
      <c r="H24" s="293"/>
      <c r="I24" s="48">
        <v>19</v>
      </c>
      <c r="J24" s="79"/>
      <c r="K24" s="79"/>
    </row>
    <row r="25" spans="1:11" ht="30" customHeight="1">
      <c r="A25" s="294" t="s">
        <v>290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2" t="s">
        <v>266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301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2016-02-12T16:04:07Z</cp:lastPrinted>
  <dcterms:created xsi:type="dcterms:W3CDTF">2008-10-17T11:51:54Z</dcterms:created>
  <dcterms:modified xsi:type="dcterms:W3CDTF">2017-07-24T12:33:18Z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