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<sst xmlns="http://schemas.openxmlformats.org/spreadsheetml/2006/main" count="399" uniqueCount="346">
  <si>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</si>
  <si>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</si>
  <si>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</si>
  <si>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</si>
  <si>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</si>
  <si>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</si>
  <si>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</si>
  <si>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</si>
  <si>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</si>
  <si>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</si>
  <si>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</si>
  <si>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</si>
  <si>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</si>
  <si>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</si>
  <si>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</si>
  <si>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</si>
  <si>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</si>
  <si>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</si>
  <si>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</si>
  <si>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</si>
  <si>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</si>
  <si>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</si>
  <si>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</si>
  <si>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</si>
  <si>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</si>
  <si>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</si>
  <si>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</si>
  <si>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</si>
  <si>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</si>
  <si>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</si>
  <si>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</si>
  <si>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</si>
  <si>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</si>
  <si>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</si>
  <si>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</si>
  <si>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</si>
  <si>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</si>
  <si>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</si>
  <si>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</si>
  <si>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</si>
  <si>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</si>
  <si>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</si>
  <si>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</si>
  <si>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</si>
  <si>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</si>
  <si>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</si>
  <si>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</si>
  <si>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</si>
  <si>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</si>
  <si>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</si>
  <si>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</si>
  <si>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</si>
  <si>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</si>
  <si>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</si>
  <si>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</si>
  <si>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</si>
  <si>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</si>
  <si>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</si>
  <si>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</si>
  <si>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</si>
  <si>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</si>
  <si>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</si>
  <si>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</si>
  <si>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</si>
  <si>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</si>
  <si>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</si>
  <si>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</si>
  <si>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</si>
  <si>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</si>
  <si>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</si>
  <si>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</si>
  <si>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</si>
  <si>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</si>
  <si>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</si>
  <si>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</si>
  <si>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</si>
  <si>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</si>
  <si>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</si>
  <si>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</si>
  <si>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</si>
  <si>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</si>
  <si>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</si>
  <si>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</si>
  <si>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</si>
  <si>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</si>
  <si>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</si>
  <si>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</si>
  <si>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</si>
  <si>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</si>
  <si>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</si>
  <si>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</si>
  <si>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</si>
  <si>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</si>
  <si>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</si>
  <si>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</si>
  <si>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</si>
  <si>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</si>
  <si>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</si>
  <si>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</si>
  <si>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</si>
  <si>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</si>
  <si>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</si>
  <si>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</si>
  <si>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</si>
  <si>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</si>
  <si>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</si>
  <si>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</si>
  <si>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</si>
  <si>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</si>
  <si>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</si>
  <si>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</si>
  <si>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</si>
  <si>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</si>
  <si>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</si>
  <si>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</si>
  <si>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</si>
  <si>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</si>
  <si>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</si>
  <si>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</si>
  <si>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</si>
  <si>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</si>
  <si>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</si>
  <si>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</si>
  <si>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</si>
  <si>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</si>
  <si>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</si>
  <si>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</si>
  <si>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</si>
  <si>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</si>
  <si>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</si>
  <si>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</si>
  <si>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</si>
  <si>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</si>
  <si>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</si>
  <si>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</si>
  <si>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</si>
  <si>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</si>
  <si>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</si>
  <si>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</si>
  <si>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</si>
  <si>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</si>
  <si>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</si>
  <si>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</si>
  <si>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</si>
  <si>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</si>
  <si>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</si>
  <si>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</si>
  <si>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</si>
  <si>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</si>
  <si>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</si>
  <si>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</si>
  <si>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</si>
  <si>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</si>
  <si>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</si>
  <si>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</si>
  <si>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</si>
  <si>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</si>
  <si>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</si>
  <si>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</si>
  <si>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</si>
  <si>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</si>
  <si>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</si>
  <si>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</si>
  <si>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</si>
  <si>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</si>
  <si>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</si>
  <si>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</si>
  <si>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</si>
  <si>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</si>
  <si>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</si>
  <si>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</si>
  <si>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</si>
  <si>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</si>
  <si>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</si>
  <si>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</si>
  <si>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</si>
  <si>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</si>
  <si>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</si>
  <si>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</si>
  <si>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</si>
  <si>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</si>
  <si>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</si>
  <si>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</si>
  <si>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</si>
  <si>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</si>
  <si>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</si>
  <si>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</si>
  <si>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</si>
  <si>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</si>
  <si>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</si>
  <si>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</si>
  <si>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</si>
  <si>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</si>
  <si>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</si>
  <si>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</si>
  <si>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</si>
  <si>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</si>
  <si>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</si>
  <si>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</si>
  <si>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</si>
  <si>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</si>
  <si>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</si>
  <si>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</si>
  <si>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</si>
  <si>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</si>
  <si>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</si>
  <si>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</si>
  <si>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</si>
  <si>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</si>
  <si>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</si>
  <si>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</si>
  <si>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</si>
  <si>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</si>
  <si>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</si>
  <si>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</si>
  <si>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</si>
  <si>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</si>
  <si>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</si>
  <si>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</si>
  <si>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</si>
  <si>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</si>
  <si>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</si>
  <si>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</si>
  <si>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</si>
  <si>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</si>
  <si>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</si>
  <si>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</si>
  <si>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</si>
  <si>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</si>
  <si>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</si>
  <si>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</si>
  <si>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</si>
  <si>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</si>
  <si>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</si>
  <si>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</si>
  <si>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</si>
  <si>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</si>
  <si>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</si>
  <si>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</si>
  <si>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</si>
  <si>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</si>
  <si>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</si>
  <si>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</si>
  <si>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</si>
  <si>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</si>
  <si>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</si>
  <si>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</si>
  <si>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</si>
  <si>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</si>
  <si>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</si>
  <si>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</si>
  <si>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</si>
  <si>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</si>
  <si>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</si>
  <si>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</si>
  <si>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</si>
  <si>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</si>
  <si>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</si>
  <si>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</si>
  <si>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</si>
  <si>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</si>
  <si>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</si>
  <si>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</si>
  <si>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</si>
  <si>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</si>
  <si>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</si>
  <si>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</si>
  <si>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</si>
  <si>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</si>
  <si>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</si>
  <si>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</si>
  <si>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</si>
  <si>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</si>
  <si>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</si>
  <si>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</si>
  <si>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</si>
  <si>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</si>
  <si>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</si>
  <si>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</si>
  <si>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</si>
  <si>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</si>
  <si>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</si>
  <si>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</si>
  <si>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</si>
  <si>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</si>
  <si>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</si>
  <si>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</si>
  <si>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</si>
  <si>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</si>
  <si>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</si>
  <si>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</si>
  <si>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</si>
  <si>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</si>
  <si>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</si>
  <si>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</si>
  <si>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</si>
  <si>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</si>
  <si>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</si>
  <si>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</si>
  <si>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</si>
  <si>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</si>
  <si>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</si>
  <si>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</si>
  <si>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</si>
  <si>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</si>
  <si>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</si>
  <si>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</si>
  <si>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</si>
  <si>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</si>
  <si>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</si>
  <si>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</si>
  <si>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</si>
  <si>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</si>
  <si>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</si>
  <si>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</si>
  <si>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</si>
  <si>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</si>
  <si>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</si>
  <si>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</si>
  <si>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</si>
  <si>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</si>
  <si>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</si>
  <si>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31.12.2014.</t>
  </si>
  <si>
    <t>3474771</t>
  </si>
  <si>
    <t>040020883</t>
  </si>
  <si>
    <t>36201212847</t>
  </si>
  <si>
    <t>Valamar Riviera d.d.</t>
  </si>
  <si>
    <t>Poreč</t>
  </si>
  <si>
    <t>Stancija Kaligari 1</t>
  </si>
  <si>
    <t>5510</t>
  </si>
  <si>
    <t>NE</t>
  </si>
  <si>
    <t>Istarska</t>
  </si>
  <si>
    <t>Sopta Anka</t>
  </si>
  <si>
    <t>052 408 188</t>
  </si>
  <si>
    <t>052 408 110</t>
  </si>
  <si>
    <t>anka.sopta@riviera.hr</t>
  </si>
  <si>
    <t>(osobe ovlaštene za zastupanje)</t>
  </si>
  <si>
    <t>uprava@riviera.hr</t>
  </si>
  <si>
    <t>www.riviera-adria.com</t>
  </si>
  <si>
    <t>Obveznik: _Valamar Riviera d.d.____________________________________________________________</t>
  </si>
  <si>
    <t>stanje na dan 31.12.2014.</t>
  </si>
  <si>
    <t>01.01.2014.</t>
  </si>
  <si>
    <t>u razdoblju 01.01.2014. do 31.12.2014.</t>
  </si>
  <si>
    <t>Obveznik: ___Valamar Riviera d.d.__________________________________________________________</t>
  </si>
  <si>
    <t>Obveznik: __Valamar Riviera d.d.___________________________________________________________</t>
  </si>
  <si>
    <t>Lanschützer Franz, Čižmek Marko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</si>
</sst>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a.sopta@riviera.hr" TargetMode="External" /><Relationship Id="rId2" Type="http://schemas.openxmlformats.org/officeDocument/2006/relationships/hyperlink" Target="mailto:uprava@riviera.hr" TargetMode="External" /><Relationship Id="rId3" Type="http://schemas.openxmlformats.org/officeDocument/2006/relationships/hyperlink" Target="http://www.riviera-adria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25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247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248</v>
      </c>
      <c r="B2" s="183"/>
      <c r="C2" s="183"/>
      <c r="D2" s="184"/>
      <c r="E2" s="120" t="s">
        <v>341</v>
      </c>
      <c r="F2" s="12"/>
      <c r="G2" s="13" t="s">
        <v>249</v>
      </c>
      <c r="H2" s="120" t="s">
        <v>322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250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251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252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253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254</v>
      </c>
      <c r="B14" s="136"/>
      <c r="C14" s="178">
        <v>52440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255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256</v>
      </c>
      <c r="B18" s="136"/>
      <c r="C18" s="173" t="s">
        <v>337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257</v>
      </c>
      <c r="B20" s="136"/>
      <c r="C20" s="173" t="s">
        <v>338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258</v>
      </c>
      <c r="B22" s="136"/>
      <c r="C22" s="121">
        <v>348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259</v>
      </c>
      <c r="B24" s="136"/>
      <c r="C24" s="121">
        <v>18</v>
      </c>
      <c r="D24" s="152" t="s">
        <v>331</v>
      </c>
      <c r="E24" s="163"/>
      <c r="F24" s="163"/>
      <c r="G24" s="164"/>
      <c r="H24" s="51" t="s">
        <v>260</v>
      </c>
      <c r="I24" s="122">
        <v>1611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261</v>
      </c>
      <c r="B26" s="136"/>
      <c r="C26" s="123" t="s">
        <v>330</v>
      </c>
      <c r="D26" s="25"/>
      <c r="E26" s="33"/>
      <c r="F26" s="24"/>
      <c r="G26" s="165" t="s">
        <v>262</v>
      </c>
      <c r="H26" s="136"/>
      <c r="I26" s="124" t="s">
        <v>329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263</v>
      </c>
      <c r="B28" s="167"/>
      <c r="C28" s="168"/>
      <c r="D28" s="168"/>
      <c r="E28" s="169" t="s">
        <v>264</v>
      </c>
      <c r="F28" s="170"/>
      <c r="G28" s="170"/>
      <c r="H28" s="171" t="s">
        <v>265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266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267</v>
      </c>
      <c r="B46" s="131"/>
      <c r="C46" s="152" t="s">
        <v>332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269</v>
      </c>
      <c r="B48" s="131"/>
      <c r="C48" s="137" t="s">
        <v>333</v>
      </c>
      <c r="D48" s="133"/>
      <c r="E48" s="134"/>
      <c r="F48" s="16"/>
      <c r="G48" s="51" t="s">
        <v>270</v>
      </c>
      <c r="H48" s="137" t="s">
        <v>334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256</v>
      </c>
      <c r="B50" s="131"/>
      <c r="C50" s="132" t="s">
        <v>335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271</v>
      </c>
      <c r="B52" s="136"/>
      <c r="C52" s="137" t="s">
        <v>345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336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272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304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305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306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307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47" t="s">
        <v>275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nka.sopta@riviera.hr"/>
    <hyperlink ref="C18" r:id="rId2" display="uprava@riviera.hr"/>
    <hyperlink ref="C20" r:id="rId3" display="www.riviera-adria.c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1">
      <selection activeCell="A1" sqref="A1:K121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276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2454013171</v>
      </c>
      <c r="K8" s="53">
        <f>K9+K16+K26+K35+K39</f>
        <v>2934679336.0200005</v>
      </c>
    </row>
    <row r="9" spans="1:11" ht="12.75">
      <c r="A9" s="208" t="s">
        <v>204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8616401</v>
      </c>
      <c r="K9" s="53">
        <f>SUM(K10:K15)</f>
        <v>8212640.8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1603091</v>
      </c>
      <c r="K11" s="7">
        <v>8206230.8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207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208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7013310</v>
      </c>
      <c r="K14" s="7">
        <v>6410</v>
      </c>
    </row>
    <row r="15" spans="1:11" ht="12.75">
      <c r="A15" s="208" t="s">
        <v>209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205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2070126787</v>
      </c>
      <c r="K16" s="53">
        <f>SUM(K17:K25)</f>
        <v>2281624820.9900002</v>
      </c>
    </row>
    <row r="17" spans="1:11" ht="12.75">
      <c r="A17" s="208" t="s">
        <v>210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516606646</v>
      </c>
      <c r="K17" s="7">
        <v>518328470.35</v>
      </c>
    </row>
    <row r="18" spans="1:11" ht="12.75">
      <c r="A18" s="208" t="s">
        <v>246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1267279974</v>
      </c>
      <c r="K18" s="7">
        <v>1376727572.51</v>
      </c>
    </row>
    <row r="19" spans="1:11" ht="12.75">
      <c r="A19" s="208" t="s">
        <v>211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128258857</v>
      </c>
      <c r="K19" s="7">
        <v>164960077.49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37147176</v>
      </c>
      <c r="K20" s="7">
        <v>51708484.64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27469078</v>
      </c>
      <c r="K22" s="7">
        <v>20168935.95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75624552</v>
      </c>
      <c r="K23" s="7">
        <v>107593194.55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17740504</v>
      </c>
      <c r="K24" s="7">
        <v>22367880.66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>
        <v>19770204.84</v>
      </c>
    </row>
    <row r="26" spans="1:11" ht="12.75">
      <c r="A26" s="208" t="s">
        <v>189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350577272</v>
      </c>
      <c r="K26" s="53">
        <f>SUM(K27:K34)</f>
        <v>440999449.61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348722988</v>
      </c>
      <c r="K27" s="7">
        <v>401967938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140000</v>
      </c>
      <c r="K29" s="7">
        <v>140000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1714284</v>
      </c>
      <c r="K31" s="7">
        <v>38891511.61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321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183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802256</v>
      </c>
      <c r="K35" s="53">
        <f>SUM(K36:K38)</f>
        <v>163186378.39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>
        <v>162453653.98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420555</v>
      </c>
      <c r="K37" s="7">
        <v>372432.01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381701</v>
      </c>
      <c r="K38" s="7">
        <v>360292.4</v>
      </c>
    </row>
    <row r="39" spans="1:11" ht="12.75">
      <c r="A39" s="208" t="s">
        <v>184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23890455</v>
      </c>
      <c r="K39" s="7">
        <v>40656046.23</v>
      </c>
    </row>
    <row r="40" spans="1:11" ht="12.75">
      <c r="A40" s="197" t="s">
        <v>239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v>485836413</v>
      </c>
      <c r="K40" s="53">
        <f>K41+K49+K56+K64</f>
        <v>235975513.79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7168796.77</v>
      </c>
      <c r="K41" s="53">
        <f>SUM(K42:K48)</f>
        <v>7123767.819999999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5341092.77</v>
      </c>
      <c r="K42" s="7">
        <v>6328636.31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740909</v>
      </c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126904</v>
      </c>
      <c r="K45" s="7">
        <v>50137.47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959891</v>
      </c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>
        <v>744994.04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253319296.65</v>
      </c>
      <c r="K49" s="53">
        <f>SUM(K50:K55)</f>
        <v>60893122.5</v>
      </c>
    </row>
    <row r="50" spans="1:11" ht="12.75">
      <c r="A50" s="208" t="s">
        <v>199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>
        <v>28734473.2</v>
      </c>
    </row>
    <row r="51" spans="1:11" ht="12.75">
      <c r="A51" s="208" t="s">
        <v>200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224681325</v>
      </c>
      <c r="K51" s="7">
        <v>18062032.2</v>
      </c>
    </row>
    <row r="52" spans="1:11" ht="12.75">
      <c r="A52" s="208" t="s">
        <v>201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202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265136.65</v>
      </c>
      <c r="K53" s="7">
        <v>288682.81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23950101</v>
      </c>
      <c r="K54" s="7">
        <v>10047091.83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4422734</v>
      </c>
      <c r="K55" s="7">
        <v>3760842.46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2592620</v>
      </c>
      <c r="K56" s="53">
        <f>SUM(K57:K63)</f>
        <v>1749747.43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481050</v>
      </c>
      <c r="K58" s="7">
        <v>517300</v>
      </c>
    </row>
    <row r="59" spans="1:11" ht="12.75">
      <c r="A59" s="208" t="s">
        <v>241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1105625</v>
      </c>
      <c r="K61" s="7">
        <v>1091162.02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1005945</v>
      </c>
      <c r="K62" s="7">
        <v>141285.41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206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222755698.93</v>
      </c>
      <c r="K64" s="7">
        <v>166208876.04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20123849</v>
      </c>
      <c r="K65" s="7">
        <v>24166341.69</v>
      </c>
    </row>
    <row r="66" spans="1:11" ht="12.75">
      <c r="A66" s="197" t="s">
        <v>240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2959973433</v>
      </c>
      <c r="K66" s="53">
        <f>K7+K8+K40+K65</f>
        <v>3194821191.5000005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54898457</v>
      </c>
      <c r="K67" s="8">
        <v>54802077.25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190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1952787258</v>
      </c>
      <c r="K69" s="54">
        <f>K70+K71+K72+K78+K79+K82+K85</f>
        <v>2079338255.13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1117663400</v>
      </c>
      <c r="K70" s="7">
        <v>1672021208.98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478208416</v>
      </c>
      <c r="K71" s="7">
        <v>-8395862.37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122288060</v>
      </c>
      <c r="K72" s="53">
        <f>K73+K74-K75+K76+K77</f>
        <v>98724306.83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57792194</v>
      </c>
      <c r="K73" s="7">
        <v>60724657.28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52225816</v>
      </c>
      <c r="K74" s="7">
        <v>24344407.41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45316122</v>
      </c>
      <c r="K75" s="7">
        <v>8836447.91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57586172</v>
      </c>
      <c r="K77" s="7">
        <v>22491690.05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79152</v>
      </c>
      <c r="K78" s="7">
        <v>29750702.35</v>
      </c>
    </row>
    <row r="79" spans="1:11" ht="12.75">
      <c r="A79" s="208" t="s">
        <v>237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175898960</v>
      </c>
      <c r="K79" s="53">
        <f>K80-K81</f>
        <v>263592747.61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175898960</v>
      </c>
      <c r="K80" s="7">
        <v>263592747.61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238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58649270</v>
      </c>
      <c r="K82" s="53">
        <f>K83-K84</f>
        <v>23645151.73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58649270</v>
      </c>
      <c r="K83" s="7">
        <v>23645151.73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358217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358217</v>
      </c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701341674.8</v>
      </c>
      <c r="K90" s="53">
        <f>SUM(K91:K99)</f>
        <v>819916935.43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242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697170626</v>
      </c>
      <c r="K93" s="7">
        <v>813681392.14</v>
      </c>
    </row>
    <row r="94" spans="1:11" ht="12.75">
      <c r="A94" s="208" t="s">
        <v>243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244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245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4151260</v>
      </c>
      <c r="K98" s="7">
        <v>3937690.39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19788.8</v>
      </c>
      <c r="K99" s="7">
        <v>2297852.9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238709026.28</v>
      </c>
      <c r="K100" s="53">
        <f>SUM(K101:K112)</f>
        <v>217526457.83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>
        <v>1040929.88</v>
      </c>
    </row>
    <row r="102" spans="1:11" ht="12.75">
      <c r="A102" s="208" t="s">
        <v>242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129967302</v>
      </c>
      <c r="K103" s="7">
        <v>102566943.62</v>
      </c>
    </row>
    <row r="104" spans="1:11" ht="12.75">
      <c r="A104" s="208" t="s">
        <v>243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7489924</v>
      </c>
      <c r="K104" s="7">
        <v>12602157.01</v>
      </c>
    </row>
    <row r="105" spans="1:11" ht="12.75">
      <c r="A105" s="208" t="s">
        <v>244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77797646</v>
      </c>
      <c r="K105" s="7">
        <v>79956729.43</v>
      </c>
    </row>
    <row r="106" spans="1:11" ht="12.75">
      <c r="A106" s="208" t="s">
        <v>245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11959342</v>
      </c>
      <c r="K108" s="7">
        <v>14673784.75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8629871</v>
      </c>
      <c r="K109" s="7">
        <v>5790530.52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2864941.28</v>
      </c>
      <c r="K112" s="7">
        <v>895382.62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66777257</v>
      </c>
      <c r="K113" s="7">
        <v>78039543.11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2959973433.0800004</v>
      </c>
      <c r="K114" s="53">
        <f>K69+K86+K90+K100+K113</f>
        <v>3194821191.5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54898457</v>
      </c>
      <c r="K115" s="8">
        <v>54802077.25</v>
      </c>
    </row>
    <row r="116" spans="1:11" ht="12.75">
      <c r="A116" s="214" t="s">
        <v>308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185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309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4">
      <selection activeCell="A1" sqref="A1: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42187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277</v>
      </c>
      <c r="J4" s="237" t="s">
        <v>317</v>
      </c>
      <c r="K4" s="237"/>
      <c r="L4" s="237" t="s">
        <v>318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817061939.71</v>
      </c>
      <c r="K7" s="54">
        <f>SUM(K8:K9)</f>
        <v>38451992.9</v>
      </c>
      <c r="L7" s="54">
        <f>SUM(L8:L9)</f>
        <v>1083433150.11</v>
      </c>
      <c r="M7" s="54">
        <f>SUM(M8:M9)</f>
        <v>65195049.109999985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806404437.62</v>
      </c>
      <c r="K8" s="7">
        <v>35368359.9</v>
      </c>
      <c r="L8" s="7">
        <v>1065052872.77</v>
      </c>
      <c r="M8" s="7">
        <f>+L8-1009076462</f>
        <v>55976410.76999998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10657502.09</v>
      </c>
      <c r="K9" s="7">
        <v>3083633</v>
      </c>
      <c r="L9" s="7">
        <f>2087191.09+16293086.25</f>
        <v>18380277.34</v>
      </c>
      <c r="M9" s="7">
        <f>+L9-9161639</f>
        <v>9218638.34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786081022.88</v>
      </c>
      <c r="K10" s="53">
        <f>K11+K12+K16+K20+K21+K22+K25+K26</f>
        <v>191710700.6</v>
      </c>
      <c r="L10" s="53">
        <f>L11+L12+L16+L20+L21+L22+L25+L26</f>
        <v>1038872090.1700001</v>
      </c>
      <c r="M10" s="53">
        <f>M11+M12+M16+M20+M21+M22+M25+M26</f>
        <v>243338360.17000002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281905977.53</v>
      </c>
      <c r="K12" s="53">
        <f>SUM(K13:K15)</f>
        <v>45212487.6</v>
      </c>
      <c r="L12" s="53">
        <f>SUM(L13:L15)</f>
        <v>391059889.79</v>
      </c>
      <c r="M12" s="53">
        <f>SUM(M13:M15)</f>
        <v>60977967.79000002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138742200.35</v>
      </c>
      <c r="K13" s="7">
        <v>16177648.8</v>
      </c>
      <c r="L13" s="7">
        <v>184560788.21</v>
      </c>
      <c r="M13" s="7">
        <f>+L13-165101704</f>
        <v>19459084.21000001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779270.32</v>
      </c>
      <c r="K14" s="7">
        <v>25721.4</v>
      </c>
      <c r="L14" s="7">
        <v>1137090.12</v>
      </c>
      <c r="M14" s="7">
        <f>+L14-1084237</f>
        <v>52853.12000000011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142384506.86</v>
      </c>
      <c r="K15" s="7">
        <v>29009117.4</v>
      </c>
      <c r="L15" s="7">
        <v>205362011.46</v>
      </c>
      <c r="M15" s="7">
        <f>+L15-163895981</f>
        <v>41466030.46000001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180797545.58999997</v>
      </c>
      <c r="K16" s="53">
        <f>SUM(K17:K19)</f>
        <v>46724753</v>
      </c>
      <c r="L16" s="53">
        <f>SUM(L17:L19)</f>
        <v>259089554.9</v>
      </c>
      <c r="M16" s="53">
        <f>SUM(M17:M19)</f>
        <v>65255824.90000001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110449083.48</v>
      </c>
      <c r="K17" s="7">
        <v>28093513</v>
      </c>
      <c r="L17" s="7">
        <v>154962804.3</v>
      </c>
      <c r="M17" s="7">
        <f>+L17-117022152</f>
        <v>37940652.30000001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46774283.97</v>
      </c>
      <c r="K18" s="7">
        <v>12487238</v>
      </c>
      <c r="L18" s="7">
        <v>66912073.88</v>
      </c>
      <c r="M18" s="7">
        <f>+L18-49104646</f>
        <v>17807427.880000003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23574178.14</v>
      </c>
      <c r="K19" s="7">
        <v>6144002</v>
      </c>
      <c r="L19" s="7">
        <v>37214676.72</v>
      </c>
      <c r="M19" s="7">
        <f>+L19-27706932</f>
        <v>9507744.719999999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172005207.35</v>
      </c>
      <c r="K20" s="7">
        <v>49498073</v>
      </c>
      <c r="L20" s="7">
        <v>186440865.54</v>
      </c>
      <c r="M20" s="7">
        <f>+L20-140096383</f>
        <v>46344482.53999999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129893534.08</v>
      </c>
      <c r="K21" s="7">
        <v>32037809</v>
      </c>
      <c r="L21" s="7">
        <v>167064044.14</v>
      </c>
      <c r="M21" s="7">
        <f>+L21-125705811</f>
        <v>41358233.139999986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4874869.69</v>
      </c>
      <c r="K22" s="53">
        <f>SUM(K24:K24)</f>
        <v>4695408</v>
      </c>
      <c r="L22" s="53">
        <f>SUM(L23:L24)</f>
        <v>1195654.27</v>
      </c>
      <c r="M22" s="53">
        <f>SUM(M23:M24)</f>
        <v>972277.27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4874869.69</v>
      </c>
      <c r="K24" s="7">
        <v>4695408</v>
      </c>
      <c r="L24" s="7">
        <v>1195654.27</v>
      </c>
      <c r="M24" s="7">
        <f>+L24-223377</f>
        <v>972277.27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263618.01</v>
      </c>
      <c r="K25" s="7">
        <v>263618</v>
      </c>
      <c r="L25" s="7">
        <v>10225325.2</v>
      </c>
      <c r="M25" s="7">
        <f>+L25-0</f>
        <v>10225325.2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16340270.63</v>
      </c>
      <c r="K26" s="7">
        <v>13278552</v>
      </c>
      <c r="L26" s="7">
        <v>23796756.33</v>
      </c>
      <c r="M26" s="7">
        <f>+L26-5592507</f>
        <v>18204249.33</v>
      </c>
    </row>
    <row r="27" spans="1:13" ht="12.75">
      <c r="A27" s="197" t="s">
        <v>212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25217778.49</v>
      </c>
      <c r="K27" s="53">
        <f>SUM(K28:K32)</f>
        <v>12746846</v>
      </c>
      <c r="L27" s="53">
        <f>SUM(L28:L32)</f>
        <v>15993863.690000001</v>
      </c>
      <c r="M27" s="53">
        <f>SUM(M28:M32)</f>
        <v>9144102.690000001</v>
      </c>
    </row>
    <row r="28" spans="1:13" ht="12.75">
      <c r="A28" s="197" t="s">
        <v>226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5501593.96</v>
      </c>
      <c r="K28" s="7">
        <v>1441721</v>
      </c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16394852.26</v>
      </c>
      <c r="K29" s="7">
        <v>10286724</v>
      </c>
      <c r="L29" s="7">
        <v>11081848.08</v>
      </c>
      <c r="M29" s="7">
        <f>+L29-2971064</f>
        <v>8110784.08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222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1579154.46</v>
      </c>
      <c r="K31" s="7">
        <v>955217</v>
      </c>
      <c r="L31" s="7">
        <v>3169080.47</v>
      </c>
      <c r="M31" s="7">
        <f>+L31-2487585</f>
        <v>681495.4700000002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1742177.81</v>
      </c>
      <c r="K32" s="7">
        <v>63184</v>
      </c>
      <c r="L32" s="7">
        <v>1742935.14</v>
      </c>
      <c r="M32" s="7">
        <f>+L32-1391112</f>
        <v>351823.1399999999</v>
      </c>
    </row>
    <row r="33" spans="1:13" ht="12.75">
      <c r="A33" s="197" t="s">
        <v>213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21059388.680000003</v>
      </c>
      <c r="K33" s="53">
        <f>SUM(K34:K37)</f>
        <v>11753147.9</v>
      </c>
      <c r="L33" s="53">
        <f>SUM(L34:L37)</f>
        <v>33270258.46</v>
      </c>
      <c r="M33" s="53">
        <f>SUM(M34:M37)</f>
        <v>16990495.46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821270.17</v>
      </c>
      <c r="K34" s="7">
        <v>595589.4</v>
      </c>
      <c r="L34" s="7">
        <v>1030253.6</v>
      </c>
      <c r="M34" s="7">
        <f>+L34-0</f>
        <v>1030253.6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18321303.94</v>
      </c>
      <c r="K35" s="7">
        <v>10303344.3</v>
      </c>
      <c r="L35" s="7">
        <v>29460012.14</v>
      </c>
      <c r="M35" s="7">
        <f>+L35-15468494</f>
        <v>13991518.14</v>
      </c>
    </row>
    <row r="36" spans="1:13" ht="12.75">
      <c r="A36" s="197" t="s">
        <v>223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630061.25</v>
      </c>
      <c r="K36" s="7">
        <v>462520</v>
      </c>
      <c r="L36" s="7">
        <v>1345894.22</v>
      </c>
      <c r="M36" s="7">
        <f>+L36-0</f>
        <v>1345894.22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1286753.32</v>
      </c>
      <c r="K37" s="7">
        <v>391694.2</v>
      </c>
      <c r="L37" s="7">
        <v>1434098.5</v>
      </c>
      <c r="M37" s="7">
        <f>+L37-811269</f>
        <v>622829.5</v>
      </c>
    </row>
    <row r="38" spans="1:13" ht="12.75">
      <c r="A38" s="197" t="s">
        <v>194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195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224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225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214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842279718.2</v>
      </c>
      <c r="K42" s="53">
        <f>K7+K27+K38+K40</f>
        <v>51198838.9</v>
      </c>
      <c r="L42" s="53">
        <f>L7+L27+L38+L40</f>
        <v>1099427013.8</v>
      </c>
      <c r="M42" s="53">
        <f>M7+M27+M38+M40</f>
        <v>74339151.79999998</v>
      </c>
    </row>
    <row r="43" spans="1:13" ht="12.75">
      <c r="A43" s="197" t="s">
        <v>215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807140411.56</v>
      </c>
      <c r="K43" s="53">
        <f>K10+K33+K39+K41</f>
        <v>203463848.5</v>
      </c>
      <c r="L43" s="53">
        <f>L10+L33+L39+L41</f>
        <v>1072142348.6300001</v>
      </c>
      <c r="M43" s="53">
        <f>M10+M33+M39+M41</f>
        <v>260328855.63000003</v>
      </c>
    </row>
    <row r="44" spans="1:13" ht="12.75">
      <c r="A44" s="197" t="s">
        <v>235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35139306.640000105</v>
      </c>
      <c r="K44" s="53">
        <f>K42-K43+0.6</f>
        <v>-152265009</v>
      </c>
      <c r="L44" s="53">
        <f>L42-L43</f>
        <v>27284665.169999838</v>
      </c>
      <c r="M44" s="53">
        <f>M42-M43</f>
        <v>-185989703.83000004</v>
      </c>
    </row>
    <row r="45" spans="1:13" ht="12.75">
      <c r="A45" s="217" t="s">
        <v>217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35139306.640000105</v>
      </c>
      <c r="K45" s="53">
        <f>IF(K42&gt;K43,K42-K43,0)</f>
        <v>0</v>
      </c>
      <c r="L45" s="53">
        <f>IF(L42&gt;L43,L42-L43,0)</f>
        <v>27284665.169999838</v>
      </c>
      <c r="M45" s="53">
        <f>IF(M42&gt;M43,M42-M43,0)</f>
        <v>0</v>
      </c>
    </row>
    <row r="46" spans="1:13" ht="12.75">
      <c r="A46" s="217" t="s">
        <v>218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IF(K43&gt;K42,K43-K42,0)-0.6</f>
        <v>152265009</v>
      </c>
      <c r="L46" s="53">
        <f>IF(L43&gt;L42,L43-L42,0)</f>
        <v>0</v>
      </c>
      <c r="M46" s="53">
        <f>IF(M43&gt;M42,M43-M42,0)</f>
        <v>185989703.83000004</v>
      </c>
    </row>
    <row r="47" spans="1:13" ht="12.75">
      <c r="A47" s="197" t="s">
        <v>216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-23524649.16</v>
      </c>
      <c r="K47" s="7">
        <v>-23524649.16</v>
      </c>
      <c r="L47" s="7">
        <v>3639513.44</v>
      </c>
      <c r="M47" s="7">
        <f>+L47-0</f>
        <v>3639513.44</v>
      </c>
    </row>
    <row r="48" spans="1:13" ht="12.75">
      <c r="A48" s="197" t="s">
        <v>236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58663955.8000001</v>
      </c>
      <c r="K48" s="53">
        <f>K44-K47</f>
        <v>-128740359.84</v>
      </c>
      <c r="L48" s="53">
        <f>L44-L47</f>
        <v>23645151.729999837</v>
      </c>
      <c r="M48" s="53">
        <f>M44-M47</f>
        <v>-189629217.27000004</v>
      </c>
    </row>
    <row r="49" spans="1:13" ht="12.75">
      <c r="A49" s="217" t="s">
        <v>191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58663955.8000001</v>
      </c>
      <c r="K49" s="53">
        <f>IF(K48&gt;0,K48,0)</f>
        <v>0</v>
      </c>
      <c r="L49" s="53">
        <f>IF(L48&gt;0,L48,0)</f>
        <v>23645151.729999837</v>
      </c>
      <c r="M49" s="53">
        <f>IF(M48&gt;0,M48,0)</f>
        <v>0</v>
      </c>
    </row>
    <row r="50" spans="1:13" ht="12.75">
      <c r="A50" s="241" t="s">
        <v>219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128740359.84</v>
      </c>
      <c r="L50" s="61">
        <f>IF(L48&lt;0,-L48,0)</f>
        <v>0</v>
      </c>
      <c r="M50" s="61">
        <f>IF(M48&lt;0,-M48,0)</f>
        <v>189629217.27000004</v>
      </c>
    </row>
    <row r="51" spans="1:13" ht="12.75" customHeight="1">
      <c r="A51" s="214" t="s">
        <v>310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186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233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234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203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+J48</f>
        <v>58663955.8000001</v>
      </c>
      <c r="K56" s="6">
        <f>+K48</f>
        <v>-128740359.84</v>
      </c>
      <c r="L56" s="6">
        <f>+L48</f>
        <v>23645151.729999837</v>
      </c>
      <c r="M56" s="6">
        <f>+M48</f>
        <v>-189629217.27000004</v>
      </c>
    </row>
    <row r="57" spans="1:13" ht="12.75">
      <c r="A57" s="197" t="s">
        <v>220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-720061</v>
      </c>
      <c r="M57" s="53">
        <f>SUM(M58:M64)</f>
        <v>-720061</v>
      </c>
    </row>
    <row r="58" spans="1:13" ht="21" customHeight="1">
      <c r="A58" s="197" t="s">
        <v>227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7.25" customHeight="1">
      <c r="A59" s="197" t="s">
        <v>228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7.25" customHeight="1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>
        <v>-720061</v>
      </c>
      <c r="M60" s="7">
        <f>+L60</f>
        <v>-720061</v>
      </c>
    </row>
    <row r="61" spans="1:13" ht="17.25" customHeight="1">
      <c r="A61" s="197" t="s">
        <v>229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230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231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232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221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>
        <v>-144012</v>
      </c>
      <c r="M65" s="7">
        <f>+L65</f>
        <v>-144012</v>
      </c>
    </row>
    <row r="66" spans="1:13" ht="12.75">
      <c r="A66" s="197" t="s">
        <v>192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-576049</v>
      </c>
      <c r="M66" s="53">
        <f>M57-M65</f>
        <v>-576049</v>
      </c>
    </row>
    <row r="67" spans="1:13" ht="12.75">
      <c r="A67" s="197" t="s">
        <v>193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58663955.8000001</v>
      </c>
      <c r="K67" s="61">
        <f>K56+K66</f>
        <v>-128740359.84</v>
      </c>
      <c r="L67" s="61">
        <f>L56+L66</f>
        <v>23069102.729999837</v>
      </c>
      <c r="M67" s="61">
        <f>M56+M66</f>
        <v>-190205266.27000004</v>
      </c>
    </row>
    <row r="68" spans="1:13" ht="12.75" customHeight="1">
      <c r="A68" s="248" t="s">
        <v>311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233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J65536 K24:K65536 K1:K22 L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="110" zoomScaleSheetLayoutView="110" zoomScalePageLayoutView="0" workbookViewId="0" topLeftCell="A25">
      <selection activeCell="A45" sqref="A45:H45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277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281</v>
      </c>
      <c r="K5" s="69" t="s">
        <v>282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35139307</v>
      </c>
      <c r="K7" s="7">
        <v>23645152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172005207</v>
      </c>
      <c r="K8" s="7">
        <v>186440866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93140504</v>
      </c>
      <c r="K9" s="7">
        <v>17480076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193269047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45029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300285018</v>
      </c>
      <c r="K13" s="53">
        <f>SUM(K7:K12)</f>
        <v>420880170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222952177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2615844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4455573</v>
      </c>
      <c r="K17" s="7">
        <v>166426616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230023594</v>
      </c>
      <c r="K18" s="53">
        <f>SUM(K14:K17)</f>
        <v>166426616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70261424</v>
      </c>
      <c r="K19" s="53">
        <f>IF(K13&gt;K18,K13-K18,0)</f>
        <v>254453554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705677771</v>
      </c>
      <c r="K28" s="7">
        <v>397535140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33951614</v>
      </c>
      <c r="K29" s="7">
        <v>90422177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739629385</v>
      </c>
      <c r="K31" s="53">
        <f>SUM(K28:K30)</f>
        <v>487957317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739629385</v>
      </c>
      <c r="K33" s="53">
        <f>IF(K31&gt;K27,K31-K27,0)</f>
        <v>487957317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>
        <v>204357809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>
        <v>89110408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526029703</v>
      </c>
      <c r="K37" s="7">
        <v>79275190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526029703</v>
      </c>
      <c r="K38" s="53">
        <f>SUM(K35:K37)</f>
        <v>372743407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>
        <v>62975890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512218</v>
      </c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-175272502</v>
      </c>
      <c r="K43" s="7">
        <v>132810577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-174760284</v>
      </c>
      <c r="K44" s="53">
        <f>SUM(K39:K43)</f>
        <v>195786467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700789987</v>
      </c>
      <c r="K45" s="53">
        <f>IF(K38&gt;K44,K38-K44,0)</f>
        <v>176956940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+J19+J32+J45</f>
        <v>771051411</v>
      </c>
      <c r="K47" s="53">
        <f>+K19+K32+K45</f>
        <v>431410494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+J33+J20+J46</f>
        <v>739629385</v>
      </c>
      <c r="K48" s="53">
        <f>+K33+K20+K46</f>
        <v>487957317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191333673</v>
      </c>
      <c r="K49" s="7">
        <v>222755699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f>+J47-J48</f>
        <v>31422026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f>+K48-K47</f>
        <v>56546823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222755699</v>
      </c>
      <c r="K52" s="61">
        <f>K49+K50-K51</f>
        <v>166208876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277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281</v>
      </c>
      <c r="K5" s="73" t="s">
        <v>282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198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197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1" sqref="A11:H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3.57421875" style="76" customWidth="1"/>
    <col min="9" max="9" width="9.140625" style="76" customWidth="1"/>
    <col min="10" max="10" width="10.851562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74" t="s">
        <v>279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280</v>
      </c>
      <c r="D2" s="284"/>
      <c r="E2" s="77" t="s">
        <v>341</v>
      </c>
      <c r="F2" s="43" t="s">
        <v>249</v>
      </c>
      <c r="G2" s="285" t="s">
        <v>322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303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281</v>
      </c>
      <c r="K4" s="83" t="s">
        <v>282</v>
      </c>
    </row>
    <row r="5" spans="1:11" ht="12.75">
      <c r="A5" s="276" t="s">
        <v>283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1117663400</v>
      </c>
      <c r="K5" s="45">
        <v>1672021208.98</v>
      </c>
    </row>
    <row r="6" spans="1:11" ht="12.75">
      <c r="A6" s="276" t="s">
        <v>284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478208416</v>
      </c>
      <c r="K6" s="46">
        <v>-8395862.37</v>
      </c>
    </row>
    <row r="7" spans="1:11" ht="12.75">
      <c r="A7" s="276" t="s">
        <v>285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122288060</v>
      </c>
      <c r="K7" s="46">
        <v>98724307</v>
      </c>
    </row>
    <row r="8" spans="1:11" ht="12.75">
      <c r="A8" s="276" t="s">
        <v>286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175898960</v>
      </c>
      <c r="K8" s="46">
        <v>263592748</v>
      </c>
    </row>
    <row r="9" spans="1:11" ht="12.75">
      <c r="A9" s="276" t="s">
        <v>287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58649270</v>
      </c>
      <c r="K9" s="46">
        <v>23645151.73</v>
      </c>
    </row>
    <row r="10" spans="1:11" ht="12.75">
      <c r="A10" s="276" t="s">
        <v>288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>
        <v>29750702</v>
      </c>
    </row>
    <row r="11" spans="1:11" ht="12.75">
      <c r="A11" s="276" t="s">
        <v>289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290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79152</v>
      </c>
      <c r="K12" s="46"/>
    </row>
    <row r="13" spans="1:11" ht="12.75">
      <c r="A13" s="276" t="s">
        <v>291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292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1952787258</v>
      </c>
      <c r="K14" s="79">
        <f>SUM(K5:K13)</f>
        <v>2079338255.3400002</v>
      </c>
    </row>
    <row r="15" spans="1:11" ht="12.75">
      <c r="A15" s="276" t="s">
        <v>293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294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295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296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297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298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299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300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301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302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erimanic</cp:lastModifiedBy>
  <cp:lastPrinted>2015-02-11T08:53:59Z</cp:lastPrinted>
  <dcterms:created xsi:type="dcterms:W3CDTF">2008-10-17T11:51:54Z</dcterms:created>
  <dcterms:modified xsi:type="dcterms:W3CDTF">2015-02-11T08:55:19Z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